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525" yWindow="495" windowWidth="12150" windowHeight="11400" tabRatio="656"/>
  </bookViews>
  <sheets>
    <sheet name="Historical Comparisons" sheetId="11" r:id="rId1"/>
    <sheet name="2015 Program Panel Calculations" sheetId="8" r:id="rId2"/>
    <sheet name="2015 Poster Allocations" sheetId="9" r:id="rId3"/>
  </sheets>
  <calcPr calcId="145621"/>
</workbook>
</file>

<file path=xl/calcChain.xml><?xml version="1.0" encoding="utf-8"?>
<calcChain xmlns="http://schemas.openxmlformats.org/spreadsheetml/2006/main">
  <c r="V4" i="8" l="1"/>
  <c r="V5" i="8"/>
  <c r="V6" i="8"/>
  <c r="V7" i="8"/>
  <c r="V8" i="8"/>
  <c r="V9" i="8"/>
  <c r="V10" i="8"/>
  <c r="V11" i="8"/>
  <c r="V12" i="8"/>
  <c r="V13" i="8"/>
  <c r="V14" i="8"/>
  <c r="V15" i="8"/>
  <c r="V16" i="8"/>
  <c r="V17" i="8"/>
  <c r="V18" i="8"/>
  <c r="V19" i="8"/>
  <c r="V20" i="8"/>
  <c r="V21" i="8"/>
  <c r="V22" i="8"/>
  <c r="V23" i="8"/>
  <c r="V24" i="8"/>
  <c r="V25" i="8"/>
  <c r="V26" i="8"/>
  <c r="V27" i="8"/>
  <c r="V28" i="8"/>
  <c r="V29" i="8"/>
  <c r="V30" i="8"/>
  <c r="V31" i="8"/>
  <c r="V32" i="8"/>
  <c r="V33" i="8"/>
  <c r="V34" i="8"/>
  <c r="V35" i="8"/>
  <c r="V36" i="8"/>
  <c r="V37" i="8"/>
  <c r="V38" i="8"/>
  <c r="V39" i="8"/>
  <c r="V40" i="8"/>
  <c r="V41" i="8"/>
  <c r="V42" i="8"/>
  <c r="V43" i="8"/>
  <c r="V44" i="8"/>
  <c r="V45" i="8"/>
  <c r="V46" i="8"/>
  <c r="V47" i="8"/>
  <c r="V48" i="8"/>
  <c r="V49" i="8"/>
  <c r="V50" i="8"/>
  <c r="V51" i="8"/>
  <c r="V52" i="8"/>
  <c r="V53" i="8"/>
  <c r="V54" i="8"/>
  <c r="V55" i="8"/>
  <c r="V3" i="8"/>
  <c r="T58" i="8"/>
  <c r="B56" i="9" l="1"/>
  <c r="B57" i="9"/>
  <c r="AA58" i="8" l="1" a="1"/>
  <c r="S58" i="8" l="1"/>
  <c r="C63" i="8"/>
  <c r="B62" i="8"/>
  <c r="C62" i="8" s="1"/>
  <c r="B61" i="8"/>
  <c r="C61" i="8" s="1"/>
  <c r="N58" i="8"/>
  <c r="M58" i="8"/>
  <c r="E58" i="8"/>
  <c r="D58" i="8"/>
  <c r="C58" i="8"/>
  <c r="B58" i="8"/>
  <c r="P57" i="8"/>
  <c r="P56" i="8"/>
  <c r="O56" i="8"/>
  <c r="AF55" i="8"/>
  <c r="AE55" i="8"/>
  <c r="O55" i="8"/>
  <c r="G55" i="8"/>
  <c r="F55" i="8"/>
  <c r="AF54" i="8"/>
  <c r="AE54" i="8"/>
  <c r="O54" i="8"/>
  <c r="G54" i="8"/>
  <c r="F54" i="8"/>
  <c r="AF53" i="8"/>
  <c r="AE53" i="8"/>
  <c r="O53" i="8"/>
  <c r="G53" i="8"/>
  <c r="F53" i="8"/>
  <c r="AF52" i="8"/>
  <c r="AE52" i="8"/>
  <c r="O52" i="8"/>
  <c r="G52" i="8"/>
  <c r="F52" i="8"/>
  <c r="AF51" i="8"/>
  <c r="AE51" i="8"/>
  <c r="O51" i="8"/>
  <c r="G51" i="8"/>
  <c r="F51" i="8"/>
  <c r="AF50" i="8"/>
  <c r="AE50" i="8"/>
  <c r="O50" i="8"/>
  <c r="G50" i="8"/>
  <c r="F50" i="8"/>
  <c r="AF49" i="8"/>
  <c r="AE49" i="8"/>
  <c r="O49" i="8"/>
  <c r="G49" i="8"/>
  <c r="F49" i="8"/>
  <c r="AF48" i="8"/>
  <c r="AE48" i="8"/>
  <c r="O48" i="8"/>
  <c r="G48" i="8"/>
  <c r="F48" i="8"/>
  <c r="AF47" i="8"/>
  <c r="AE47" i="8"/>
  <c r="O47" i="8"/>
  <c r="G47" i="8"/>
  <c r="F47" i="8"/>
  <c r="AF46" i="8"/>
  <c r="AE46" i="8"/>
  <c r="O46" i="8"/>
  <c r="G46" i="8"/>
  <c r="F46" i="8"/>
  <c r="AF45" i="8"/>
  <c r="AE45" i="8"/>
  <c r="O45" i="8"/>
  <c r="G45" i="8"/>
  <c r="F45" i="8"/>
  <c r="AF44" i="8"/>
  <c r="AE44" i="8"/>
  <c r="O44" i="8"/>
  <c r="G44" i="8"/>
  <c r="F44" i="8"/>
  <c r="AF43" i="8"/>
  <c r="AE43" i="8"/>
  <c r="O43" i="8"/>
  <c r="G43" i="8"/>
  <c r="F43" i="8"/>
  <c r="AF42" i="8"/>
  <c r="AE42" i="8"/>
  <c r="O42" i="8"/>
  <c r="G42" i="8"/>
  <c r="F42" i="8"/>
  <c r="AF41" i="8"/>
  <c r="AE41" i="8"/>
  <c r="O41" i="8"/>
  <c r="G41" i="8"/>
  <c r="F41" i="8"/>
  <c r="AF40" i="8"/>
  <c r="AE40" i="8"/>
  <c r="O40" i="8"/>
  <c r="G40" i="8"/>
  <c r="F40" i="8"/>
  <c r="AF39" i="8"/>
  <c r="AE39" i="8"/>
  <c r="O39" i="8"/>
  <c r="G39" i="8"/>
  <c r="F39" i="8"/>
  <c r="AF38" i="8"/>
  <c r="AE38" i="8"/>
  <c r="O38" i="8"/>
  <c r="G38" i="8"/>
  <c r="F38" i="8"/>
  <c r="AF37" i="8"/>
  <c r="AE37" i="8"/>
  <c r="O37" i="8"/>
  <c r="G37" i="8"/>
  <c r="F37" i="8"/>
  <c r="AF36" i="8"/>
  <c r="AE36" i="8"/>
  <c r="O36" i="8"/>
  <c r="G36" i="8"/>
  <c r="F36" i="8"/>
  <c r="AF35" i="8"/>
  <c r="AE35" i="8"/>
  <c r="O35" i="8"/>
  <c r="G35" i="8"/>
  <c r="F35" i="8"/>
  <c r="AF34" i="8"/>
  <c r="AE34" i="8"/>
  <c r="O34" i="8"/>
  <c r="G34" i="8"/>
  <c r="F34" i="8"/>
  <c r="AF33" i="8"/>
  <c r="AE33" i="8"/>
  <c r="O33" i="8"/>
  <c r="G33" i="8"/>
  <c r="F33" i="8"/>
  <c r="AF32" i="8"/>
  <c r="AE32" i="8"/>
  <c r="O32" i="8"/>
  <c r="G32" i="8"/>
  <c r="F32" i="8"/>
  <c r="AF31" i="8"/>
  <c r="AE31" i="8"/>
  <c r="O31" i="8"/>
  <c r="G31" i="8"/>
  <c r="F31" i="8"/>
  <c r="AF30" i="8"/>
  <c r="AE30" i="8"/>
  <c r="O30" i="8"/>
  <c r="G30" i="8"/>
  <c r="F30" i="8"/>
  <c r="AF29" i="8"/>
  <c r="AE29" i="8"/>
  <c r="P29" i="8"/>
  <c r="O29" i="8"/>
  <c r="G29" i="8"/>
  <c r="F29" i="8"/>
  <c r="AF28" i="8"/>
  <c r="AE28" i="8"/>
  <c r="O28" i="8"/>
  <c r="G28" i="8"/>
  <c r="F28" i="8"/>
  <c r="AF27" i="8"/>
  <c r="AE27" i="8"/>
  <c r="O27" i="8"/>
  <c r="G27" i="8"/>
  <c r="F27" i="8"/>
  <c r="AF26" i="8"/>
  <c r="AE26" i="8"/>
  <c r="O26" i="8"/>
  <c r="G26" i="8"/>
  <c r="F26" i="8"/>
  <c r="AF25" i="8"/>
  <c r="AE25" i="8"/>
  <c r="O25" i="8"/>
  <c r="G25" i="8"/>
  <c r="F25" i="8"/>
  <c r="AF24" i="8"/>
  <c r="AE24" i="8"/>
  <c r="O24" i="8"/>
  <c r="G24" i="8"/>
  <c r="F24" i="8"/>
  <c r="AF23" i="8"/>
  <c r="AE23" i="8"/>
  <c r="O23" i="8"/>
  <c r="G23" i="8"/>
  <c r="F23" i="8"/>
  <c r="AF22" i="8"/>
  <c r="AE22" i="8"/>
  <c r="O22" i="8"/>
  <c r="G22" i="8"/>
  <c r="F22" i="8"/>
  <c r="AF21" i="8"/>
  <c r="AE21" i="8"/>
  <c r="O21" i="8"/>
  <c r="G21" i="8"/>
  <c r="F21" i="8"/>
  <c r="AF20" i="8"/>
  <c r="AE20" i="8"/>
  <c r="P20" i="8"/>
  <c r="O20" i="8"/>
  <c r="G20" i="8"/>
  <c r="F20" i="8"/>
  <c r="AF19" i="8"/>
  <c r="AE19" i="8"/>
  <c r="P19" i="8"/>
  <c r="O19" i="8"/>
  <c r="G19" i="8"/>
  <c r="F19" i="8"/>
  <c r="AF18" i="8"/>
  <c r="AE18" i="8"/>
  <c r="P18" i="8"/>
  <c r="O18" i="8"/>
  <c r="G18" i="8"/>
  <c r="F18" i="8"/>
  <c r="AF17" i="8"/>
  <c r="AE17" i="8"/>
  <c r="O17" i="8"/>
  <c r="G17" i="8"/>
  <c r="F17" i="8"/>
  <c r="AF16" i="8"/>
  <c r="AE16" i="8"/>
  <c r="P16" i="8"/>
  <c r="O16" i="8"/>
  <c r="G16" i="8"/>
  <c r="F16" i="8"/>
  <c r="AF15" i="8"/>
  <c r="AE15" i="8"/>
  <c r="P15" i="8"/>
  <c r="G15" i="8"/>
  <c r="F15" i="8"/>
  <c r="AF14" i="8"/>
  <c r="AE14" i="8"/>
  <c r="P14" i="8"/>
  <c r="G14" i="8"/>
  <c r="F14" i="8"/>
  <c r="AF13" i="8"/>
  <c r="AE13" i="8"/>
  <c r="O13" i="8"/>
  <c r="G13" i="8"/>
  <c r="F13" i="8"/>
  <c r="AF12" i="8"/>
  <c r="AE12" i="8"/>
  <c r="O12" i="8"/>
  <c r="G12" i="8"/>
  <c r="F12" i="8"/>
  <c r="AF11" i="8"/>
  <c r="AE11" i="8"/>
  <c r="P11" i="8"/>
  <c r="O11" i="8"/>
  <c r="G11" i="8"/>
  <c r="F11" i="8"/>
  <c r="AF10" i="8"/>
  <c r="AE10" i="8"/>
  <c r="O10" i="8"/>
  <c r="G10" i="8"/>
  <c r="F10" i="8"/>
  <c r="AF9" i="8"/>
  <c r="AE9" i="8"/>
  <c r="O9" i="8"/>
  <c r="G9" i="8"/>
  <c r="F9" i="8"/>
  <c r="AF8" i="8"/>
  <c r="AE8" i="8"/>
  <c r="P8" i="8"/>
  <c r="O8" i="8"/>
  <c r="G8" i="8"/>
  <c r="F8" i="8"/>
  <c r="AF7" i="8"/>
  <c r="AE7" i="8"/>
  <c r="O7" i="8"/>
  <c r="G7" i="8"/>
  <c r="F7" i="8"/>
  <c r="AF6" i="8"/>
  <c r="AE6" i="8"/>
  <c r="P6" i="8"/>
  <c r="O6" i="8"/>
  <c r="G6" i="8"/>
  <c r="F6" i="8"/>
  <c r="AF5" i="8"/>
  <c r="AE5" i="8"/>
  <c r="P5" i="8"/>
  <c r="O5" i="8"/>
  <c r="G5" i="8"/>
  <c r="F5" i="8"/>
  <c r="AF4" i="8"/>
  <c r="AE4" i="8"/>
  <c r="O4" i="8"/>
  <c r="G4" i="8"/>
  <c r="F4" i="8"/>
  <c r="AF3" i="8"/>
  <c r="AE3" i="8"/>
  <c r="P3" i="8"/>
  <c r="O3" i="8"/>
  <c r="G3" i="8"/>
  <c r="F3" i="8"/>
  <c r="U5" i="8" l="1"/>
  <c r="U7" i="8"/>
  <c r="U9" i="8"/>
  <c r="U11" i="8"/>
  <c r="U13" i="8"/>
  <c r="U15" i="8"/>
  <c r="U17" i="8"/>
  <c r="U19" i="8"/>
  <c r="U21" i="8"/>
  <c r="U23" i="8"/>
  <c r="U25" i="8"/>
  <c r="U27" i="8"/>
  <c r="U29" i="8"/>
  <c r="U31" i="8"/>
  <c r="U33" i="8"/>
  <c r="U35" i="8"/>
  <c r="U37" i="8"/>
  <c r="U39" i="8"/>
  <c r="U41" i="8"/>
  <c r="U43" i="8"/>
  <c r="U45" i="8"/>
  <c r="U47" i="8"/>
  <c r="U49" i="8"/>
  <c r="U51" i="8"/>
  <c r="U53" i="8"/>
  <c r="U55" i="8"/>
  <c r="U54" i="8"/>
  <c r="U50" i="8"/>
  <c r="U46" i="8"/>
  <c r="U42" i="8"/>
  <c r="U38" i="8"/>
  <c r="U34" i="8"/>
  <c r="U30" i="8"/>
  <c r="U26" i="8"/>
  <c r="U22" i="8"/>
  <c r="U18" i="8"/>
  <c r="U14" i="8"/>
  <c r="U10" i="8"/>
  <c r="U6" i="8"/>
  <c r="U3" i="8"/>
  <c r="U52" i="8"/>
  <c r="U48" i="8"/>
  <c r="U44" i="8"/>
  <c r="U40" i="8"/>
  <c r="U36" i="8"/>
  <c r="U32" i="8"/>
  <c r="U28" i="8"/>
  <c r="U24" i="8"/>
  <c r="U20" i="8"/>
  <c r="U16" i="8"/>
  <c r="U12" i="8"/>
  <c r="U8" i="8"/>
  <c r="U4" i="8"/>
  <c r="F58" i="8"/>
  <c r="H4" i="8"/>
  <c r="H8" i="8"/>
  <c r="H9" i="8"/>
  <c r="H11" i="8"/>
  <c r="H12" i="8"/>
  <c r="H14" i="8"/>
  <c r="H16" i="8"/>
  <c r="H17" i="8"/>
  <c r="H22" i="8"/>
  <c r="H24" i="8"/>
  <c r="H26" i="8"/>
  <c r="H28" i="8"/>
  <c r="H31" i="8"/>
  <c r="H33" i="8"/>
  <c r="H35" i="8"/>
  <c r="H37" i="8"/>
  <c r="H39" i="8"/>
  <c r="H41" i="8"/>
  <c r="H43" i="8"/>
  <c r="H45" i="8"/>
  <c r="H47" i="8"/>
  <c r="H49" i="8"/>
  <c r="H51" i="8"/>
  <c r="H53" i="8"/>
  <c r="H55" i="8"/>
  <c r="H5" i="8"/>
  <c r="H6" i="8"/>
  <c r="H7" i="8"/>
  <c r="H10" i="8"/>
  <c r="H13" i="8"/>
  <c r="H15" i="8"/>
  <c r="H18" i="8"/>
  <c r="H19" i="8"/>
  <c r="H21" i="8"/>
  <c r="H23" i="8"/>
  <c r="H25" i="8"/>
  <c r="H27" i="8"/>
  <c r="H29" i="8"/>
  <c r="H30" i="8"/>
  <c r="H32" i="8"/>
  <c r="H34" i="8"/>
  <c r="H36" i="8"/>
  <c r="G58" i="8"/>
  <c r="O58" i="8"/>
  <c r="P12" i="8" s="1"/>
  <c r="H20" i="8"/>
  <c r="H3" i="8"/>
  <c r="H38" i="8"/>
  <c r="H40" i="8"/>
  <c r="H42" i="8"/>
  <c r="H44" i="8"/>
  <c r="H46" i="8"/>
  <c r="H48" i="8"/>
  <c r="H50" i="8"/>
  <c r="H52" i="8"/>
  <c r="H54" i="8"/>
  <c r="P40" i="8" l="1"/>
  <c r="P22" i="8"/>
  <c r="P52" i="8"/>
  <c r="P48" i="8"/>
  <c r="P44" i="8"/>
  <c r="P54" i="8"/>
  <c r="P50" i="8"/>
  <c r="P46" i="8"/>
  <c r="P42" i="8"/>
  <c r="P38" i="8"/>
  <c r="P26" i="8"/>
  <c r="P36" i="8"/>
  <c r="P34" i="8"/>
  <c r="P32" i="8"/>
  <c r="P30" i="8"/>
  <c r="P28" i="8"/>
  <c r="P24" i="8"/>
  <c r="H60" i="8" a="1"/>
  <c r="H60" i="8" s="1"/>
  <c r="I3" i="8" s="1"/>
  <c r="H59" i="8" a="1"/>
  <c r="H59" i="8" s="1"/>
  <c r="H58" i="8"/>
  <c r="P55" i="8"/>
  <c r="P53" i="8"/>
  <c r="P51" i="8"/>
  <c r="P49" i="8"/>
  <c r="P47" i="8"/>
  <c r="P45" i="8"/>
  <c r="P43" i="8"/>
  <c r="P41" i="8"/>
  <c r="P39" i="8"/>
  <c r="P37" i="8"/>
  <c r="P35" i="8"/>
  <c r="P33" i="8"/>
  <c r="P31" i="8"/>
  <c r="P17" i="8"/>
  <c r="P13" i="8"/>
  <c r="P9" i="8"/>
  <c r="P7" i="8"/>
  <c r="P27" i="8"/>
  <c r="P25" i="8"/>
  <c r="P23" i="8"/>
  <c r="P21" i="8"/>
  <c r="P10" i="8"/>
  <c r="P4" i="8"/>
  <c r="B65" i="8" l="1"/>
  <c r="C65" i="8" s="1"/>
  <c r="Q37" i="8" s="1"/>
  <c r="I7" i="8"/>
  <c r="I23" i="8"/>
  <c r="J23" i="8" s="1"/>
  <c r="I27" i="8"/>
  <c r="I4" i="8"/>
  <c r="J4" i="8" s="1"/>
  <c r="I12" i="8"/>
  <c r="I22" i="8"/>
  <c r="J22" i="8" s="1"/>
  <c r="I26" i="8"/>
  <c r="I30" i="8"/>
  <c r="J30" i="8" s="1"/>
  <c r="I32" i="8"/>
  <c r="I34" i="8"/>
  <c r="J34" i="8" s="1"/>
  <c r="I36" i="8"/>
  <c r="I33" i="8"/>
  <c r="J33" i="8" s="1"/>
  <c r="I37" i="8"/>
  <c r="I41" i="8"/>
  <c r="J41" i="8" s="1"/>
  <c r="I45" i="8"/>
  <c r="I49" i="8"/>
  <c r="J49" i="8" s="1"/>
  <c r="I53" i="8"/>
  <c r="I10" i="8"/>
  <c r="J10" i="8" s="1"/>
  <c r="I13" i="8"/>
  <c r="I21" i="8"/>
  <c r="J21" i="8" s="1"/>
  <c r="I25" i="8"/>
  <c r="I9" i="8"/>
  <c r="J9" i="8" s="1"/>
  <c r="I17" i="8"/>
  <c r="I24" i="8"/>
  <c r="J24" i="8" s="1"/>
  <c r="I28" i="8"/>
  <c r="I31" i="8"/>
  <c r="J31" i="8" s="1"/>
  <c r="I35" i="8"/>
  <c r="I39" i="8"/>
  <c r="J39" i="8" s="1"/>
  <c r="I43" i="8"/>
  <c r="I47" i="8"/>
  <c r="J47" i="8" s="1"/>
  <c r="I51" i="8"/>
  <c r="I55" i="8"/>
  <c r="J55" i="8" s="1"/>
  <c r="I44" i="8"/>
  <c r="I52" i="8"/>
  <c r="J52" i="8" s="1"/>
  <c r="Q30" i="8"/>
  <c r="I38" i="8"/>
  <c r="J38" i="8" s="1"/>
  <c r="I46" i="8"/>
  <c r="I54" i="8"/>
  <c r="J54" i="8" s="1"/>
  <c r="P58" i="8"/>
  <c r="Q13" i="8"/>
  <c r="Q47" i="8"/>
  <c r="B66" i="8"/>
  <c r="C66" i="8" s="1"/>
  <c r="I11" i="8"/>
  <c r="I5" i="8"/>
  <c r="J5" i="8" s="1"/>
  <c r="I15" i="8"/>
  <c r="I19" i="8"/>
  <c r="J19" i="8" s="1"/>
  <c r="I16" i="8"/>
  <c r="I8" i="8"/>
  <c r="J8" i="8" s="1"/>
  <c r="I6" i="8"/>
  <c r="I18" i="8"/>
  <c r="J18" i="8" s="1"/>
  <c r="I29" i="8"/>
  <c r="I14" i="8"/>
  <c r="J14" i="8" s="1"/>
  <c r="I40" i="8"/>
  <c r="J40" i="8" s="1"/>
  <c r="I48" i="8"/>
  <c r="I20" i="8"/>
  <c r="Q32" i="8"/>
  <c r="I42" i="8"/>
  <c r="J42" i="8" s="1"/>
  <c r="I50" i="8"/>
  <c r="J50" i="8" l="1"/>
  <c r="Q36" i="8"/>
  <c r="Q28" i="8"/>
  <c r="J48" i="8"/>
  <c r="Q35" i="8"/>
  <c r="R35" i="8" s="1"/>
  <c r="T35" i="8" s="1"/>
  <c r="Q25" i="8"/>
  <c r="Q4" i="8"/>
  <c r="J46" i="8"/>
  <c r="Q34" i="8"/>
  <c r="Q24" i="8"/>
  <c r="J44" i="8"/>
  <c r="J51" i="8"/>
  <c r="J43" i="8"/>
  <c r="J35" i="8"/>
  <c r="J28" i="8"/>
  <c r="R28" i="8" s="1"/>
  <c r="T28" i="8" s="1"/>
  <c r="J17" i="8"/>
  <c r="J25" i="8"/>
  <c r="J13" i="8"/>
  <c r="J53" i="8"/>
  <c r="J45" i="8"/>
  <c r="J37" i="8"/>
  <c r="R37" i="8" s="1"/>
  <c r="T37" i="8" s="1"/>
  <c r="J36" i="8"/>
  <c r="J32" i="8"/>
  <c r="R32" i="8" s="1"/>
  <c r="T32" i="8" s="1"/>
  <c r="J26" i="8"/>
  <c r="Q45" i="8"/>
  <c r="R45" i="8" s="1"/>
  <c r="T45" i="8" s="1"/>
  <c r="J12" i="8"/>
  <c r="J27" i="8"/>
  <c r="J7" i="8"/>
  <c r="Q53" i="8"/>
  <c r="Q14" i="8"/>
  <c r="R14" i="8" s="1"/>
  <c r="T14" i="8" s="1"/>
  <c r="Q18" i="8"/>
  <c r="Q19" i="8"/>
  <c r="J56" i="8"/>
  <c r="J57" i="8"/>
  <c r="J20" i="8"/>
  <c r="J29" i="8"/>
  <c r="J6" i="8"/>
  <c r="J16" i="8"/>
  <c r="J15" i="8"/>
  <c r="J11" i="8"/>
  <c r="R47" i="8"/>
  <c r="T47" i="8" s="1"/>
  <c r="R24" i="8"/>
  <c r="T24" i="8" s="1"/>
  <c r="R34" i="8"/>
  <c r="T34" i="8" s="1"/>
  <c r="R30" i="8"/>
  <c r="T30" i="8" s="1"/>
  <c r="R4" i="8"/>
  <c r="T4" i="8" s="1"/>
  <c r="C67" i="8"/>
  <c r="Q12" i="8"/>
  <c r="R12" i="8" s="1"/>
  <c r="T12" i="8" s="1"/>
  <c r="Q52" i="8"/>
  <c r="Q44" i="8"/>
  <c r="Q50" i="8"/>
  <c r="Q42" i="8"/>
  <c r="Q48" i="8"/>
  <c r="Q40" i="8"/>
  <c r="Q54" i="8"/>
  <c r="Q46" i="8"/>
  <c r="R46" i="8" s="1"/>
  <c r="T46" i="8" s="1"/>
  <c r="Q38" i="8"/>
  <c r="Q22" i="8"/>
  <c r="Q26" i="8"/>
  <c r="Q49" i="8"/>
  <c r="Q41" i="8"/>
  <c r="Q33" i="8"/>
  <c r="Q9" i="8"/>
  <c r="Q23" i="8"/>
  <c r="Q55" i="8"/>
  <c r="R55" i="8" s="1"/>
  <c r="T55" i="8" s="1"/>
  <c r="Q43" i="8"/>
  <c r="Q31" i="8"/>
  <c r="Q21" i="8"/>
  <c r="R48" i="8"/>
  <c r="T48" i="8" s="1"/>
  <c r="Q8" i="8"/>
  <c r="R8" i="8" s="1"/>
  <c r="T8" i="8" s="1"/>
  <c r="Q5" i="8"/>
  <c r="R5" i="8" s="1"/>
  <c r="T5" i="8" s="1"/>
  <c r="R44" i="8"/>
  <c r="T44" i="8" s="1"/>
  <c r="R25" i="8"/>
  <c r="T25" i="8" s="1"/>
  <c r="R13" i="8"/>
  <c r="T13" i="8" s="1"/>
  <c r="R36" i="8"/>
  <c r="T36" i="8" s="1"/>
  <c r="R26" i="8"/>
  <c r="T26" i="8" s="1"/>
  <c r="Q17" i="8"/>
  <c r="Q27" i="8"/>
  <c r="Q10" i="8"/>
  <c r="Q51" i="8"/>
  <c r="Q39" i="8"/>
  <c r="Q7" i="8"/>
  <c r="J3" i="8"/>
  <c r="W37" i="8" l="1"/>
  <c r="W36" i="8"/>
  <c r="W25" i="8"/>
  <c r="W44" i="8"/>
  <c r="W8" i="8"/>
  <c r="W46" i="8"/>
  <c r="W12" i="8"/>
  <c r="W4" i="8"/>
  <c r="W34" i="8"/>
  <c r="W47" i="8"/>
  <c r="W26" i="8"/>
  <c r="W13" i="8"/>
  <c r="W35" i="8"/>
  <c r="W5" i="8"/>
  <c r="W48" i="8"/>
  <c r="W55" i="8"/>
  <c r="W30" i="8"/>
  <c r="W24" i="8"/>
  <c r="W14" i="8"/>
  <c r="W45" i="8"/>
  <c r="W32" i="8"/>
  <c r="W28" i="8"/>
  <c r="R43" i="8"/>
  <c r="T43" i="8" s="1"/>
  <c r="R50" i="8"/>
  <c r="T50" i="8" s="1"/>
  <c r="R39" i="8"/>
  <c r="T39" i="8" s="1"/>
  <c r="R10" i="8"/>
  <c r="T10" i="8" s="1"/>
  <c r="R17" i="8"/>
  <c r="T17" i="8" s="1"/>
  <c r="R31" i="8"/>
  <c r="T31" i="8" s="1"/>
  <c r="R9" i="8"/>
  <c r="T9" i="8" s="1"/>
  <c r="R41" i="8"/>
  <c r="T41" i="8" s="1"/>
  <c r="R38" i="8"/>
  <c r="T38" i="8" s="1"/>
  <c r="R54" i="8"/>
  <c r="T54" i="8" s="1"/>
  <c r="R52" i="8"/>
  <c r="T52" i="8" s="1"/>
  <c r="R19" i="8"/>
  <c r="T19" i="8" s="1"/>
  <c r="R53" i="8"/>
  <c r="T53" i="8" s="1"/>
  <c r="R7" i="8"/>
  <c r="T7" i="8" s="1"/>
  <c r="R51" i="8"/>
  <c r="T51" i="8" s="1"/>
  <c r="R27" i="8"/>
  <c r="T27" i="8" s="1"/>
  <c r="R21" i="8"/>
  <c r="T21" i="8" s="1"/>
  <c r="R23" i="8"/>
  <c r="T23" i="8" s="1"/>
  <c r="R33" i="8"/>
  <c r="T33" i="8" s="1"/>
  <c r="R49" i="8"/>
  <c r="T49" i="8" s="1"/>
  <c r="R22" i="8"/>
  <c r="T22" i="8" s="1"/>
  <c r="R40" i="8"/>
  <c r="T40" i="8" s="1"/>
  <c r="R42" i="8"/>
  <c r="T42" i="8" s="1"/>
  <c r="R18" i="8"/>
  <c r="T18" i="8" s="1"/>
  <c r="Q11" i="8"/>
  <c r="Q16" i="8"/>
  <c r="Q29" i="8"/>
  <c r="Q20" i="8"/>
  <c r="Q57" i="8"/>
  <c r="R57" i="8" s="1"/>
  <c r="J58" i="8"/>
  <c r="Q3" i="8"/>
  <c r="Q15" i="8"/>
  <c r="Q6" i="8"/>
  <c r="R6" i="8" s="1"/>
  <c r="T6" i="8" s="1"/>
  <c r="Q56" i="8"/>
  <c r="R56" i="8" s="1"/>
  <c r="W27" i="8" l="1"/>
  <c r="W7" i="8"/>
  <c r="W19" i="8"/>
  <c r="W54" i="8"/>
  <c r="W41" i="8"/>
  <c r="W31" i="8"/>
  <c r="W10" i="8"/>
  <c r="W50" i="8"/>
  <c r="W18" i="8"/>
  <c r="W40" i="8"/>
  <c r="W49" i="8"/>
  <c r="W23" i="8"/>
  <c r="W6" i="8"/>
  <c r="W42" i="8"/>
  <c r="W22" i="8"/>
  <c r="W33" i="8"/>
  <c r="W21" i="8"/>
  <c r="W51" i="8"/>
  <c r="W53" i="8"/>
  <c r="W52" i="8"/>
  <c r="W38" i="8"/>
  <c r="W9" i="8"/>
  <c r="W17" i="8"/>
  <c r="W39" i="8"/>
  <c r="W43" i="8"/>
  <c r="R29" i="8"/>
  <c r="T29" i="8" s="1"/>
  <c r="R15" i="8"/>
  <c r="T15" i="8" s="1"/>
  <c r="R3" i="8"/>
  <c r="T3" i="8" s="1"/>
  <c r="R20" i="8"/>
  <c r="T20" i="8" s="1"/>
  <c r="R16" i="8"/>
  <c r="T16" i="8" s="1"/>
  <c r="R11" i="8"/>
  <c r="T11" i="8" s="1"/>
  <c r="Q58" i="8"/>
  <c r="W3" i="8" l="1"/>
  <c r="W16" i="8"/>
  <c r="W29" i="8"/>
  <c r="W11" i="8"/>
  <c r="W20" i="8"/>
  <c r="W15" i="8"/>
  <c r="R58" i="8"/>
  <c r="W58" i="8" l="1"/>
  <c r="X16" i="8" s="1"/>
  <c r="Y16" i="8" s="1"/>
  <c r="AC16" i="8" l="1"/>
  <c r="AG16" i="8" s="1"/>
  <c r="B16" i="9" s="1"/>
  <c r="Z16" i="8"/>
  <c r="X28" i="8"/>
  <c r="Y28" i="8" s="1"/>
  <c r="X24" i="8"/>
  <c r="Y24" i="8" s="1"/>
  <c r="X5" i="8"/>
  <c r="Y5" i="8" s="1"/>
  <c r="X47" i="8"/>
  <c r="Y47" i="8" s="1"/>
  <c r="X46" i="8"/>
  <c r="Y46" i="8" s="1"/>
  <c r="X36" i="8"/>
  <c r="Y36" i="8" s="1"/>
  <c r="X32" i="8"/>
  <c r="Y32" i="8" s="1"/>
  <c r="X30" i="8"/>
  <c r="Y30" i="8" s="1"/>
  <c r="X35" i="8"/>
  <c r="Y35" i="8" s="1"/>
  <c r="X34" i="8"/>
  <c r="Y34" i="8" s="1"/>
  <c r="X8" i="8"/>
  <c r="Y8" i="8" s="1"/>
  <c r="X37" i="8"/>
  <c r="Y37" i="8" s="1"/>
  <c r="X14" i="8"/>
  <c r="Y14" i="8" s="1"/>
  <c r="X48" i="8"/>
  <c r="Y48" i="8" s="1"/>
  <c r="X12" i="8"/>
  <c r="Y12" i="8" s="1"/>
  <c r="X45" i="8"/>
  <c r="Y45" i="8" s="1"/>
  <c r="X55" i="8"/>
  <c r="Y55" i="8" s="1"/>
  <c r="Z55" i="8" s="1"/>
  <c r="X13" i="8"/>
  <c r="Y13" i="8" s="1"/>
  <c r="X4" i="8"/>
  <c r="Y4" i="8" s="1"/>
  <c r="X44" i="8"/>
  <c r="Y44" i="8" s="1"/>
  <c r="X26" i="8"/>
  <c r="Y26" i="8" s="1"/>
  <c r="X25" i="8"/>
  <c r="Y25" i="8" s="1"/>
  <c r="X17" i="8"/>
  <c r="Y17" i="8" s="1"/>
  <c r="X53" i="8"/>
  <c r="Y53" i="8" s="1"/>
  <c r="X22" i="8"/>
  <c r="Y22" i="8" s="1"/>
  <c r="X49" i="8"/>
  <c r="Y49" i="8" s="1"/>
  <c r="X50" i="8"/>
  <c r="Y50" i="8" s="1"/>
  <c r="X54" i="8"/>
  <c r="Y54" i="8" s="1"/>
  <c r="X43" i="8"/>
  <c r="Y43" i="8" s="1"/>
  <c r="X39" i="8"/>
  <c r="Y39" i="8" s="1"/>
  <c r="X52" i="8"/>
  <c r="Y52" i="8" s="1"/>
  <c r="X33" i="8"/>
  <c r="Y33" i="8" s="1"/>
  <c r="X23" i="8"/>
  <c r="Y23" i="8" s="1"/>
  <c r="X10" i="8"/>
  <c r="Y10" i="8" s="1"/>
  <c r="X19" i="8"/>
  <c r="Y19" i="8" s="1"/>
  <c r="X38" i="8"/>
  <c r="Y38" i="8" s="1"/>
  <c r="X21" i="8"/>
  <c r="Y21" i="8" s="1"/>
  <c r="X6" i="8"/>
  <c r="Y6" i="8" s="1"/>
  <c r="X18" i="8"/>
  <c r="Y18" i="8" s="1"/>
  <c r="X31" i="8"/>
  <c r="Y31" i="8" s="1"/>
  <c r="X7" i="8"/>
  <c r="Y7" i="8" s="1"/>
  <c r="X9" i="8"/>
  <c r="Y9" i="8" s="1"/>
  <c r="X51" i="8"/>
  <c r="Y51" i="8" s="1"/>
  <c r="X42" i="8"/>
  <c r="Y42" i="8" s="1"/>
  <c r="X40" i="8"/>
  <c r="Y40" i="8" s="1"/>
  <c r="X41" i="8"/>
  <c r="Y41" i="8" s="1"/>
  <c r="X27" i="8"/>
  <c r="Y27" i="8" s="1"/>
  <c r="X29" i="8"/>
  <c r="Y29" i="8" s="1"/>
  <c r="X15" i="8"/>
  <c r="Y15" i="8" s="1"/>
  <c r="X20" i="8"/>
  <c r="Y20" i="8" s="1"/>
  <c r="X3" i="8"/>
  <c r="X11" i="8"/>
  <c r="Y11" i="8" s="1"/>
  <c r="AC27" i="8" l="1"/>
  <c r="AG27" i="8" s="1"/>
  <c r="B27" i="9" s="1"/>
  <c r="Z27" i="8"/>
  <c r="AC11" i="8"/>
  <c r="B11" i="9" s="1"/>
  <c r="Z11" i="8"/>
  <c r="AC20" i="8"/>
  <c r="AG20" i="8" s="1"/>
  <c r="B20" i="9" s="1"/>
  <c r="Z20" i="8"/>
  <c r="AC29" i="8"/>
  <c r="AG29" i="8" s="1"/>
  <c r="B29" i="9" s="1"/>
  <c r="Z29" i="8"/>
  <c r="AC41" i="8"/>
  <c r="AG41" i="8" s="1"/>
  <c r="B41" i="9" s="1"/>
  <c r="Z41" i="8"/>
  <c r="AC42" i="8"/>
  <c r="AG42" i="8" s="1"/>
  <c r="B42" i="9" s="1"/>
  <c r="Z42" i="8"/>
  <c r="AC9" i="8"/>
  <c r="AG9" i="8" s="1"/>
  <c r="B9" i="9" s="1"/>
  <c r="Z9" i="8"/>
  <c r="AC31" i="8"/>
  <c r="AG31" i="8" s="1"/>
  <c r="B31" i="9" s="1"/>
  <c r="Z31" i="8"/>
  <c r="AC6" i="8"/>
  <c r="AG6" i="8" s="1"/>
  <c r="B6" i="9" s="1"/>
  <c r="Z6" i="8"/>
  <c r="AG38" i="8"/>
  <c r="B38" i="9" s="1"/>
  <c r="Z38" i="8"/>
  <c r="AC10" i="8"/>
  <c r="AG10" i="8" s="1"/>
  <c r="B10" i="9" s="1"/>
  <c r="Z10" i="8"/>
  <c r="AC33" i="8"/>
  <c r="AG33" i="8" s="1"/>
  <c r="B33" i="9" s="1"/>
  <c r="Z33" i="8"/>
  <c r="AC39" i="8"/>
  <c r="AG39" i="8" s="1"/>
  <c r="B39" i="9" s="1"/>
  <c r="Z39" i="8"/>
  <c r="AC54" i="8"/>
  <c r="AG54" i="8" s="1"/>
  <c r="B54" i="9" s="1"/>
  <c r="Z54" i="8"/>
  <c r="AC49" i="8"/>
  <c r="AG49" i="8" s="1"/>
  <c r="B49" i="9" s="1"/>
  <c r="Z49" i="8"/>
  <c r="AC53" i="8"/>
  <c r="AG53" i="8" s="1"/>
  <c r="B53" i="9" s="1"/>
  <c r="Z53" i="8"/>
  <c r="AC25" i="8"/>
  <c r="AG25" i="8" s="1"/>
  <c r="B25" i="9" s="1"/>
  <c r="Z25" i="8"/>
  <c r="AC44" i="8"/>
  <c r="AG44" i="8" s="1"/>
  <c r="B44" i="9" s="1"/>
  <c r="Z44" i="8"/>
  <c r="AC13" i="8"/>
  <c r="AG13" i="8" s="1"/>
  <c r="B13" i="9" s="1"/>
  <c r="Z13" i="8"/>
  <c r="AC45" i="8"/>
  <c r="AG45" i="8" s="1"/>
  <c r="B45" i="9" s="1"/>
  <c r="Z45" i="8"/>
  <c r="AC48" i="8"/>
  <c r="AG48" i="8" s="1"/>
  <c r="B48" i="9" s="1"/>
  <c r="Z48" i="8"/>
  <c r="AC37" i="8"/>
  <c r="AG37" i="8" s="1"/>
  <c r="B37" i="9" s="1"/>
  <c r="Z37" i="8"/>
  <c r="AC34" i="8"/>
  <c r="AG34" i="8" s="1"/>
  <c r="B34" i="9" s="1"/>
  <c r="Z34" i="8"/>
  <c r="AC30" i="8"/>
  <c r="AG30" i="8" s="1"/>
  <c r="B30" i="9" s="1"/>
  <c r="Z30" i="8"/>
  <c r="AC36" i="8"/>
  <c r="AG36" i="8" s="1"/>
  <c r="B36" i="9" s="1"/>
  <c r="Z36" i="8"/>
  <c r="AC47" i="8"/>
  <c r="AG47" i="8" s="1"/>
  <c r="B47" i="9" s="1"/>
  <c r="Z47" i="8"/>
  <c r="AC24" i="8"/>
  <c r="AG24" i="8" s="1"/>
  <c r="B24" i="9" s="1"/>
  <c r="Z24" i="8"/>
  <c r="AC15" i="8"/>
  <c r="AG15" i="8" s="1"/>
  <c r="B15" i="9" s="1"/>
  <c r="Z15" i="8"/>
  <c r="AC40" i="8"/>
  <c r="AG40" i="8" s="1"/>
  <c r="B40" i="9" s="1"/>
  <c r="Z40" i="8"/>
  <c r="AC51" i="8"/>
  <c r="AG51" i="8" s="1"/>
  <c r="B51" i="9" s="1"/>
  <c r="Z51" i="8"/>
  <c r="AC7" i="8"/>
  <c r="AG7" i="8" s="1"/>
  <c r="B7" i="9" s="1"/>
  <c r="Z7" i="8"/>
  <c r="AC18" i="8"/>
  <c r="AG18" i="8" s="1"/>
  <c r="B18" i="9" s="1"/>
  <c r="Z18" i="8"/>
  <c r="AC21" i="8"/>
  <c r="AG21" i="8" s="1"/>
  <c r="B21" i="9" s="1"/>
  <c r="Z21" i="8"/>
  <c r="AC19" i="8"/>
  <c r="AG19" i="8" s="1"/>
  <c r="B19" i="9" s="1"/>
  <c r="Z19" i="8"/>
  <c r="AC23" i="8"/>
  <c r="AG23" i="8" s="1"/>
  <c r="B23" i="9" s="1"/>
  <c r="Z23" i="8"/>
  <c r="AC52" i="8"/>
  <c r="AG52" i="8" s="1"/>
  <c r="B52" i="9" s="1"/>
  <c r="Z52" i="8"/>
  <c r="AC43" i="8"/>
  <c r="AG43" i="8" s="1"/>
  <c r="B43" i="9" s="1"/>
  <c r="Z43" i="8"/>
  <c r="AC50" i="8"/>
  <c r="AG50" i="8" s="1"/>
  <c r="B50" i="9" s="1"/>
  <c r="Z50" i="8"/>
  <c r="AC22" i="8"/>
  <c r="AG22" i="8" s="1"/>
  <c r="B22" i="9" s="1"/>
  <c r="Z22" i="8"/>
  <c r="AC17" i="8"/>
  <c r="AG17" i="8" s="1"/>
  <c r="B17" i="9" s="1"/>
  <c r="Z17" i="8"/>
  <c r="AC26" i="8"/>
  <c r="AG26" i="8" s="1"/>
  <c r="B26" i="9" s="1"/>
  <c r="Z26" i="8"/>
  <c r="AC4" i="8"/>
  <c r="AG4" i="8" s="1"/>
  <c r="B4" i="9" s="1"/>
  <c r="Z4" i="8"/>
  <c r="AC12" i="8"/>
  <c r="AG12" i="8" s="1"/>
  <c r="B12" i="9" s="1"/>
  <c r="Z12" i="8"/>
  <c r="AC14" i="8"/>
  <c r="AG14" i="8" s="1"/>
  <c r="B14" i="9" s="1"/>
  <c r="Z14" i="8"/>
  <c r="AC8" i="8"/>
  <c r="AG8" i="8" s="1"/>
  <c r="B8" i="9" s="1"/>
  <c r="Z8" i="8"/>
  <c r="AC35" i="8"/>
  <c r="AG35" i="8" s="1"/>
  <c r="B35" i="9" s="1"/>
  <c r="Z35" i="8"/>
  <c r="AC32" i="8"/>
  <c r="AG32" i="8" s="1"/>
  <c r="B32" i="9" s="1"/>
  <c r="Z32" i="8"/>
  <c r="AC46" i="8"/>
  <c r="AG46" i="8" s="1"/>
  <c r="B46" i="9" s="1"/>
  <c r="Z46" i="8"/>
  <c r="AC5" i="8"/>
  <c r="AG5" i="8" s="1"/>
  <c r="B5" i="9" s="1"/>
  <c r="Z5" i="8"/>
  <c r="AC28" i="8"/>
  <c r="AG28" i="8" s="1"/>
  <c r="B28" i="9" s="1"/>
  <c r="Z28" i="8"/>
  <c r="X58" i="8"/>
  <c r="Y3" i="8"/>
  <c r="Z3" i="8" s="1"/>
  <c r="AC55" i="8"/>
  <c r="B55" i="9" s="1"/>
  <c r="Y58" i="8" l="1"/>
  <c r="AC3" i="8"/>
  <c r="Z58" i="8" l="1"/>
  <c r="AA55" i="8" s="1"/>
  <c r="AG3" i="8"/>
  <c r="AC58" i="8"/>
  <c r="AG58" i="8" l="1"/>
  <c r="B3" i="9"/>
  <c r="B58" i="9" l="1"/>
  <c r="C3" i="9" s="1"/>
  <c r="D3" i="9" s="1"/>
  <c r="E3" i="9" s="1"/>
  <c r="C54" i="9" l="1"/>
  <c r="D54" i="9" s="1"/>
  <c r="E54" i="9" s="1"/>
  <c r="C56" i="9"/>
  <c r="D56" i="9" s="1"/>
  <c r="E56" i="9" s="1"/>
  <c r="C57" i="9"/>
  <c r="D57" i="9" s="1"/>
  <c r="E57" i="9" s="1"/>
  <c r="C16" i="9"/>
  <c r="D16" i="9" s="1"/>
  <c r="E16" i="9" s="1"/>
  <c r="C11" i="9"/>
  <c r="D11" i="9" s="1"/>
  <c r="E11" i="9" s="1"/>
  <c r="C29" i="9"/>
  <c r="D29" i="9" s="1"/>
  <c r="E29" i="9" s="1"/>
  <c r="C42" i="9"/>
  <c r="D42" i="9" s="1"/>
  <c r="E42" i="9" s="1"/>
  <c r="C31" i="9"/>
  <c r="D31" i="9" s="1"/>
  <c r="E31" i="9" s="1"/>
  <c r="C38" i="9"/>
  <c r="D38" i="9" s="1"/>
  <c r="E38" i="9" s="1"/>
  <c r="C33" i="9"/>
  <c r="D33" i="9" s="1"/>
  <c r="E33" i="9" s="1"/>
  <c r="C49" i="9"/>
  <c r="D49" i="9" s="1"/>
  <c r="E49" i="9" s="1"/>
  <c r="C25" i="9"/>
  <c r="D25" i="9" s="1"/>
  <c r="E25" i="9" s="1"/>
  <c r="C13" i="9"/>
  <c r="D13" i="9" s="1"/>
  <c r="E13" i="9" s="1"/>
  <c r="C48" i="9"/>
  <c r="D48" i="9" s="1"/>
  <c r="E48" i="9" s="1"/>
  <c r="C34" i="9"/>
  <c r="D34" i="9" s="1"/>
  <c r="E34" i="9" s="1"/>
  <c r="C36" i="9"/>
  <c r="D36" i="9" s="1"/>
  <c r="E36" i="9" s="1"/>
  <c r="C24" i="9"/>
  <c r="D24" i="9" s="1"/>
  <c r="E24" i="9" s="1"/>
  <c r="C27" i="9"/>
  <c r="D27" i="9" s="1"/>
  <c r="E27" i="9" s="1"/>
  <c r="C51" i="9"/>
  <c r="D51" i="9" s="1"/>
  <c r="E51" i="9" s="1"/>
  <c r="C18" i="9"/>
  <c r="D18" i="9" s="1"/>
  <c r="E18" i="9" s="1"/>
  <c r="C19" i="9"/>
  <c r="D19" i="9" s="1"/>
  <c r="E19" i="9" s="1"/>
  <c r="C52" i="9"/>
  <c r="D52" i="9" s="1"/>
  <c r="E52" i="9" s="1"/>
  <c r="C50" i="9"/>
  <c r="D50" i="9" s="1"/>
  <c r="E50" i="9" s="1"/>
  <c r="C17" i="9"/>
  <c r="D17" i="9" s="1"/>
  <c r="E17" i="9" s="1"/>
  <c r="C4" i="9"/>
  <c r="D4" i="9" s="1"/>
  <c r="E4" i="9" s="1"/>
  <c r="C14" i="9"/>
  <c r="D14" i="9" s="1"/>
  <c r="E14" i="9" s="1"/>
  <c r="C35" i="9"/>
  <c r="D35" i="9" s="1"/>
  <c r="E35" i="9" s="1"/>
  <c r="C46" i="9"/>
  <c r="D46" i="9" s="1"/>
  <c r="E46" i="9" s="1"/>
  <c r="C28" i="9"/>
  <c r="D28" i="9" s="1"/>
  <c r="E28" i="9" s="1"/>
  <c r="C20" i="9"/>
  <c r="D20" i="9" s="1"/>
  <c r="E20" i="9" s="1"/>
  <c r="C41" i="9"/>
  <c r="D41" i="9" s="1"/>
  <c r="E41" i="9" s="1"/>
  <c r="C9" i="9"/>
  <c r="D9" i="9" s="1"/>
  <c r="E9" i="9" s="1"/>
  <c r="C6" i="9"/>
  <c r="D6" i="9" s="1"/>
  <c r="E6" i="9" s="1"/>
  <c r="C10" i="9"/>
  <c r="D10" i="9" s="1"/>
  <c r="E10" i="9" s="1"/>
  <c r="C39" i="9"/>
  <c r="D39" i="9" s="1"/>
  <c r="E39" i="9" s="1"/>
  <c r="C53" i="9"/>
  <c r="D53" i="9" s="1"/>
  <c r="E53" i="9" s="1"/>
  <c r="C44" i="9"/>
  <c r="D44" i="9" s="1"/>
  <c r="E44" i="9" s="1"/>
  <c r="C45" i="9"/>
  <c r="D45" i="9" s="1"/>
  <c r="E45" i="9" s="1"/>
  <c r="C37" i="9"/>
  <c r="D37" i="9" s="1"/>
  <c r="E37" i="9" s="1"/>
  <c r="C30" i="9"/>
  <c r="D30" i="9" s="1"/>
  <c r="E30" i="9" s="1"/>
  <c r="C47" i="9"/>
  <c r="D47" i="9" s="1"/>
  <c r="E47" i="9" s="1"/>
  <c r="C15" i="9"/>
  <c r="D15" i="9" s="1"/>
  <c r="E15" i="9" s="1"/>
  <c r="C40" i="9"/>
  <c r="D40" i="9" s="1"/>
  <c r="E40" i="9" s="1"/>
  <c r="C7" i="9"/>
  <c r="D7" i="9" s="1"/>
  <c r="E7" i="9" s="1"/>
  <c r="C21" i="9"/>
  <c r="D21" i="9" s="1"/>
  <c r="E21" i="9" s="1"/>
  <c r="C23" i="9"/>
  <c r="D23" i="9" s="1"/>
  <c r="E23" i="9" s="1"/>
  <c r="C43" i="9"/>
  <c r="D43" i="9" s="1"/>
  <c r="E43" i="9" s="1"/>
  <c r="C22" i="9"/>
  <c r="D22" i="9" s="1"/>
  <c r="E22" i="9" s="1"/>
  <c r="C26" i="9"/>
  <c r="D26" i="9" s="1"/>
  <c r="E26" i="9" s="1"/>
  <c r="C12" i="9"/>
  <c r="D12" i="9" s="1"/>
  <c r="E12" i="9" s="1"/>
  <c r="C8" i="9"/>
  <c r="D8" i="9" s="1"/>
  <c r="E8" i="9" s="1"/>
  <c r="C32" i="9"/>
  <c r="D32" i="9" s="1"/>
  <c r="E32" i="9" s="1"/>
  <c r="C5" i="9"/>
  <c r="D5" i="9" s="1"/>
  <c r="E5" i="9" s="1"/>
  <c r="C55" i="9"/>
  <c r="D55" i="9" s="1"/>
  <c r="E55" i="9" s="1"/>
  <c r="E58" i="9" l="1"/>
  <c r="AA48" i="8" l="1"/>
  <c r="AB48" i="8" s="1"/>
  <c r="AA25" i="8"/>
  <c r="AB25" i="8" s="1"/>
  <c r="AA5" i="8"/>
  <c r="AB5" i="8" s="1"/>
  <c r="AA11" i="8"/>
  <c r="AB11" i="8" s="1"/>
  <c r="AA35" i="8"/>
  <c r="AB35" i="8" s="1"/>
  <c r="AA50" i="8"/>
  <c r="AB50" i="8" s="1"/>
  <c r="AA44" i="8"/>
  <c r="AB44" i="8" s="1"/>
  <c r="AA18" i="8"/>
  <c r="AB18" i="8" s="1"/>
  <c r="AA4" i="8"/>
  <c r="AB4" i="8" s="1"/>
  <c r="AA21" i="8"/>
  <c r="AB21" i="8" s="1"/>
  <c r="AA10" i="8"/>
  <c r="AB10" i="8" s="1"/>
  <c r="AA52" i="8"/>
  <c r="AB52" i="8" s="1"/>
  <c r="AA24" i="8"/>
  <c r="AB24" i="8" s="1"/>
  <c r="AA19" i="8"/>
  <c r="AB19" i="8" s="1"/>
  <c r="AA41" i="8"/>
  <c r="AB41" i="8" s="1"/>
  <c r="AA54" i="8"/>
  <c r="AB54" i="8" s="1"/>
  <c r="AA8" i="8"/>
  <c r="AB8" i="8" s="1"/>
  <c r="AA37" i="8"/>
  <c r="AB37" i="8" s="1"/>
  <c r="AA17" i="8"/>
  <c r="AB17" i="8" s="1"/>
  <c r="AA7" i="8"/>
  <c r="AB7" i="8" s="1"/>
  <c r="AA42" i="8"/>
  <c r="AB42" i="8" s="1"/>
  <c r="AA34" i="8"/>
  <c r="AB34" i="8" s="1"/>
  <c r="AA40" i="8"/>
  <c r="AB40" i="8" s="1"/>
  <c r="AA36" i="8"/>
  <c r="AB36" i="8" s="1"/>
  <c r="AA33" i="8"/>
  <c r="AB33" i="8" s="1"/>
  <c r="AA3" i="8"/>
  <c r="AA29" i="8"/>
  <c r="AB29" i="8" s="1"/>
  <c r="AA12" i="8"/>
  <c r="AB12" i="8" s="1"/>
  <c r="AA45" i="8"/>
  <c r="AB45" i="8" s="1"/>
  <c r="AA27" i="8"/>
  <c r="AB27" i="8" s="1"/>
  <c r="AA31" i="8"/>
  <c r="AB31" i="8" s="1"/>
  <c r="AA15" i="8"/>
  <c r="AB15" i="8" s="1"/>
  <c r="AA6" i="8"/>
  <c r="AB6" i="8" s="1"/>
  <c r="AA9" i="8"/>
  <c r="AB9" i="8" s="1"/>
  <c r="AA47" i="8"/>
  <c r="AB47" i="8" s="1"/>
  <c r="AA46" i="8"/>
  <c r="AB46" i="8" s="1"/>
  <c r="AA32" i="8"/>
  <c r="AB32" i="8" s="1"/>
  <c r="AA14" i="8"/>
  <c r="AB14" i="8" s="1"/>
  <c r="AA38" i="8"/>
  <c r="AB38" i="8" s="1"/>
  <c r="AA26" i="8"/>
  <c r="AB26" i="8" s="1"/>
  <c r="AA20" i="8"/>
  <c r="AB20" i="8" s="1"/>
  <c r="AA30" i="8"/>
  <c r="AB30" i="8" s="1"/>
  <c r="AA43" i="8"/>
  <c r="AB43" i="8" s="1"/>
  <c r="AA49" i="8"/>
  <c r="AB49" i="8" s="1"/>
  <c r="AA39" i="8"/>
  <c r="AB39" i="8" s="1"/>
  <c r="AA16" i="8"/>
  <c r="AB16" i="8" s="1"/>
  <c r="AA13" i="8"/>
  <c r="AB13" i="8" s="1"/>
  <c r="AA28" i="8"/>
  <c r="AB28" i="8" s="1"/>
  <c r="AA53" i="8"/>
  <c r="AB53" i="8" s="1"/>
  <c r="AA51" i="8"/>
  <c r="AB51" i="8" s="1"/>
  <c r="AA22" i="8"/>
  <c r="AB22" i="8" s="1"/>
  <c r="AA23" i="8"/>
  <c r="AB23" i="8" s="1"/>
  <c r="AB58" i="8" l="1"/>
  <c r="AA58" i="8"/>
  <c r="AB3" i="8"/>
</calcChain>
</file>

<file path=xl/sharedStrings.xml><?xml version="1.0" encoding="utf-8"?>
<sst xmlns="http://schemas.openxmlformats.org/spreadsheetml/2006/main" count="266" uniqueCount="149">
  <si>
    <t>Attendance Factor Calculation</t>
  </si>
  <si>
    <t>2015 Divisions</t>
  </si>
  <si>
    <t>2013 Allocation</t>
  </si>
  <si>
    <t>2013 Mean Attendance</t>
  </si>
  <si>
    <t>2014 Allocation</t>
  </si>
  <si>
    <t>2014 Mean Attendance</t>
  </si>
  <si>
    <t>2013.Seats</t>
  </si>
  <si>
    <t>2014.Seats</t>
  </si>
  <si>
    <t>Seats</t>
  </si>
  <si>
    <t>% Seats</t>
  </si>
  <si>
    <t>Attendance Allocation</t>
  </si>
  <si>
    <t>1^Political Thought and Philosophy</t>
  </si>
  <si>
    <t>2^Foundations of Political Theory</t>
  </si>
  <si>
    <t>3^Normative Political Theory</t>
  </si>
  <si>
    <t>4^Formal Political Theory</t>
  </si>
  <si>
    <t>5^Political Psychology</t>
  </si>
  <si>
    <t>6^Political Economy</t>
  </si>
  <si>
    <t>7^Politics and History</t>
  </si>
  <si>
    <t>8^Political Methodology</t>
  </si>
  <si>
    <t>9^Teaching and Learning</t>
  </si>
  <si>
    <t>10^Political Science Education</t>
  </si>
  <si>
    <t>11^Comparative Politics</t>
  </si>
  <si>
    <t>12^Comparative Politics of Developing Countries</t>
  </si>
  <si>
    <t>13^The Politics of Communist and Former Communist Countries</t>
  </si>
  <si>
    <t>14^Advanced Industrial Societies</t>
  </si>
  <si>
    <t>15^European Politics and Society</t>
  </si>
  <si>
    <t>16^International Political Economy</t>
  </si>
  <si>
    <t>17^International Collaboration</t>
  </si>
  <si>
    <t>18^International Security</t>
  </si>
  <si>
    <t>19^International Security and Arms Control</t>
  </si>
  <si>
    <t>20^Foreign Policy</t>
  </si>
  <si>
    <t>21^Conflict Processes</t>
  </si>
  <si>
    <t>22^Legislative Studies</t>
  </si>
  <si>
    <t>23^Presidency Research</t>
  </si>
  <si>
    <t>24^Public Administration</t>
  </si>
  <si>
    <t>25^Public Policy</t>
  </si>
  <si>
    <t>26^Law and Courts</t>
  </si>
  <si>
    <t>27^Constitutional Law and Jurisprudence</t>
  </si>
  <si>
    <t>28^Federalism and Intergovernmental Relations</t>
  </si>
  <si>
    <t>29^State Politics and Policy</t>
  </si>
  <si>
    <t>30^Urban Politics</t>
  </si>
  <si>
    <t>31^Women and Politics Research</t>
  </si>
  <si>
    <t>32^Race, Ethnicity, and Politics</t>
  </si>
  <si>
    <t>33^Religion and Politics</t>
  </si>
  <si>
    <t>34^Representation and Electoral Systems</t>
  </si>
  <si>
    <t>35^Political Organizations and Parties</t>
  </si>
  <si>
    <t>36^Elections and Voting Behavior</t>
  </si>
  <si>
    <t>37^Public Opinion</t>
  </si>
  <si>
    <t>38^Political Communication</t>
  </si>
  <si>
    <t>39^Science, Technology, and Environmental Politics</t>
  </si>
  <si>
    <t>40^Information Technology and Politics</t>
  </si>
  <si>
    <t>41^Politics, Literature, and Film</t>
  </si>
  <si>
    <t>42^New Political Science</t>
  </si>
  <si>
    <t>43^International History and Politics</t>
  </si>
  <si>
    <t>44^Comparative Democratization</t>
  </si>
  <si>
    <t>45^Human Rights</t>
  </si>
  <si>
    <t>46^Qualitative and Multi-method Research</t>
  </si>
  <si>
    <t>47^Sexuality and Politics</t>
  </si>
  <si>
    <t>48^Health Politics and Policy</t>
  </si>
  <si>
    <t>49^Canadian Politics</t>
  </si>
  <si>
    <t>50^Political Networks</t>
  </si>
  <si>
    <t>51^Experimental Research</t>
  </si>
  <si>
    <t>52^Migration and Citizenship</t>
  </si>
  <si>
    <t>53^APCG</t>
  </si>
  <si>
    <t>54^Class and Inequality</t>
  </si>
  <si>
    <t>55^Political Epistemology</t>
  </si>
  <si>
    <t>Total Panels to Allocate</t>
  </si>
  <si>
    <t>Attendance Panels</t>
  </si>
  <si>
    <t xml:space="preserve">Section Membership Panels </t>
  </si>
  <si>
    <t xml:space="preserve">Acceptance Rate Panels </t>
  </si>
  <si>
    <t>Panels Allocated to Div. w/ Sec.</t>
  </si>
  <si>
    <t>Panels Allocated to Div. w/o Sec.</t>
  </si>
  <si>
    <t>Membership Factor</t>
  </si>
  <si>
    <t>Section Number</t>
  </si>
  <si>
    <t>Section Name</t>
  </si>
  <si>
    <t>2013 Membership</t>
  </si>
  <si>
    <t>Summed Membership</t>
  </si>
  <si>
    <t>% total membership</t>
  </si>
  <si>
    <t>Membership Allocation</t>
  </si>
  <si>
    <t>Foundations of Political Theory</t>
  </si>
  <si>
    <t>Political Psychology</t>
  </si>
  <si>
    <t>Politics and History</t>
  </si>
  <si>
    <t>Political Methodology</t>
  </si>
  <si>
    <t>Political Science Education</t>
  </si>
  <si>
    <t>Comparative Politics</t>
  </si>
  <si>
    <t xml:space="preserve"> </t>
  </si>
  <si>
    <t>European Politics and Society</t>
  </si>
  <si>
    <t>International Security and Arms Control</t>
  </si>
  <si>
    <t>Foreign Policy</t>
  </si>
  <si>
    <t>Conflict Processes</t>
  </si>
  <si>
    <t>Legislative Studies</t>
  </si>
  <si>
    <t>Presidents and Executive Politics</t>
  </si>
  <si>
    <t>Public Administration</t>
  </si>
  <si>
    <t>Public Policy</t>
  </si>
  <si>
    <t>Law and Courts</t>
  </si>
  <si>
    <t>Federalism and Intergovernmental Relations</t>
  </si>
  <si>
    <t>State Politics and Policy</t>
  </si>
  <si>
    <t>Urban Politics</t>
  </si>
  <si>
    <t>Women and Politics Research</t>
  </si>
  <si>
    <t>Race, Ethnicity and Politics</t>
  </si>
  <si>
    <t>Religion and Politics</t>
  </si>
  <si>
    <t>Representation and Electoral Systems</t>
  </si>
  <si>
    <t>Political Organizations and Parties</t>
  </si>
  <si>
    <t>Elections, Public Opinion, and Voting Behavior</t>
  </si>
  <si>
    <t>Political Communication</t>
  </si>
  <si>
    <t>Science, Technology and Environmental Politics</t>
  </si>
  <si>
    <t>Information Technology and Politics</t>
  </si>
  <si>
    <t>Politics, Literature, and Film</t>
  </si>
  <si>
    <t>New Political Science</t>
  </si>
  <si>
    <t>International History and Politics</t>
  </si>
  <si>
    <t>Comparative Democratization</t>
  </si>
  <si>
    <t>Human Rights</t>
  </si>
  <si>
    <t>Qualitative and Multi-method Research</t>
  </si>
  <si>
    <t>Sexuality and Politics</t>
  </si>
  <si>
    <t>Health Politics and Policy</t>
  </si>
  <si>
    <t>Canadian Politics</t>
  </si>
  <si>
    <t>Political Networks</t>
  </si>
  <si>
    <t>Experimental Research</t>
  </si>
  <si>
    <t>Migration and Citizenship</t>
  </si>
  <si>
    <t>APCG</t>
  </si>
  <si>
    <t>Pre-Adj Allocation</t>
  </si>
  <si>
    <t>Total Allocation</t>
  </si>
  <si>
    <t>Acceptance rate</t>
  </si>
  <si>
    <t>Acceptance Rate Allocation</t>
  </si>
  <si>
    <t>2014 Membership</t>
  </si>
  <si>
    <t xml:space="preserve"> +10% upper bound</t>
  </si>
  <si>
    <t xml:space="preserve"> -10% lower bound</t>
  </si>
  <si>
    <t>Acceptance Rate Factor Calculation</t>
  </si>
  <si>
    <t>Accepted proposals to reach avg</t>
  </si>
  <si>
    <t># panels to be at avg</t>
  </si>
  <si>
    <t># panels to reach avg</t>
  </si>
  <si>
    <t>Adjusted Acceptance Rate</t>
  </si>
  <si>
    <t>Difference from mean</t>
  </si>
  <si>
    <t>Negative difference from mean</t>
  </si>
  <si>
    <t>Rounded</t>
  </si>
  <si>
    <t>2015 Proposals</t>
  </si>
  <si>
    <t>Poster Slots to Allocate</t>
  </si>
  <si>
    <t>2015 Panel Allocation</t>
  </si>
  <si>
    <t>% panels</t>
  </si>
  <si>
    <t>Poster Allocation</t>
  </si>
  <si>
    <t>2015 Poster Allocation (Rounded)</t>
  </si>
  <si>
    <t>2008 Allocation</t>
  </si>
  <si>
    <t>2009 
Allocation</t>
  </si>
  <si>
    <t>2010 Allocation</t>
  </si>
  <si>
    <t>2011 
Allocation</t>
  </si>
  <si>
    <t>2015 Allocation</t>
  </si>
  <si>
    <t>Seats from panels w/sections</t>
  </si>
  <si>
    <t>Seats from panels w/o sections</t>
  </si>
  <si>
    <t>Final (Bounded) Allocation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</si>
</sst>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;\-0.0;;@"/>
    <numFmt numFmtId="165" formatCode="0.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0"/>
      <color theme="1"/>
      <name val="Arial"/>
      <family val="2"/>
    </font>
    <font>
      <i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i/>
      <sz val="8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  <xf numFmtId="0" fontId="8" fillId="0" borderId="0"/>
    <xf numFmtId="0" fontId="7" fillId="0" borderId="0"/>
    <xf numFmtId="0" fontId="7" fillId="0" borderId="0"/>
    <xf numFmtId="0" fontId="7" fillId="0" borderId="0"/>
  </cellStyleXfs>
  <cellXfs count="88">
    <xf numFmtId="0" fontId="0" fillId="0" borderId="0" xfId="0"/>
    <xf numFmtId="0" fontId="1" fillId="0" borderId="0" xfId="0" applyFont="1"/>
    <xf numFmtId="0" fontId="3" fillId="0" borderId="1" xfId="0" applyFont="1" applyBorder="1"/>
    <xf numFmtId="164" fontId="4" fillId="0" borderId="1" xfId="0" applyNumberFormat="1" applyFont="1" applyFill="1" applyBorder="1" applyAlignment="1">
      <alignment horizontal="left"/>
    </xf>
    <xf numFmtId="165" fontId="5" fillId="0" borderId="0" xfId="0" applyNumberFormat="1" applyFont="1" applyFill="1" applyAlignment="1">
      <alignment wrapText="1"/>
    </xf>
    <xf numFmtId="165" fontId="5" fillId="0" borderId="0" xfId="0" applyNumberFormat="1" applyFont="1" applyFill="1" applyBorder="1" applyAlignment="1">
      <alignment wrapText="1"/>
    </xf>
    <xf numFmtId="165" fontId="5" fillId="0" borderId="0" xfId="0" applyNumberFormat="1" applyFont="1" applyFill="1" applyAlignment="1"/>
    <xf numFmtId="165" fontId="5" fillId="0" borderId="1" xfId="0" applyNumberFormat="1" applyFont="1" applyFill="1" applyBorder="1" applyAlignment="1">
      <alignment wrapText="1"/>
    </xf>
    <xf numFmtId="0" fontId="4" fillId="0" borderId="1" xfId="0" applyFont="1" applyFill="1" applyBorder="1" applyAlignment="1">
      <alignment horizontal="left"/>
    </xf>
    <xf numFmtId="0" fontId="0" fillId="0" borderId="1" xfId="0" applyBorder="1"/>
    <xf numFmtId="0" fontId="4" fillId="0" borderId="1" xfId="4" applyFont="1" applyFill="1" applyBorder="1" applyAlignment="1">
      <alignment horizontal="left"/>
    </xf>
    <xf numFmtId="0" fontId="4" fillId="0" borderId="4" xfId="4" applyFont="1" applyFill="1" applyBorder="1" applyAlignment="1">
      <alignment horizontal="left"/>
    </xf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0" xfId="0" applyFill="1" applyBorder="1"/>
    <xf numFmtId="0" fontId="4" fillId="0" borderId="0" xfId="0" applyFont="1" applyFill="1" applyBorder="1" applyAlignment="1">
      <alignment horizontal="right"/>
    </xf>
    <xf numFmtId="0" fontId="7" fillId="0" borderId="0" xfId="3" applyFont="1" applyFill="1" applyBorder="1"/>
    <xf numFmtId="0" fontId="7" fillId="0" borderId="0" xfId="5"/>
    <xf numFmtId="0" fontId="1" fillId="0" borderId="0" xfId="0" applyFont="1" applyBorder="1"/>
    <xf numFmtId="1" fontId="0" fillId="0" borderId="0" xfId="0" applyNumberFormat="1" applyBorder="1" applyAlignment="1">
      <alignment horizontal="right"/>
    </xf>
    <xf numFmtId="0" fontId="9" fillId="0" borderId="0" xfId="0" applyFont="1" applyBorder="1" applyAlignment="1">
      <alignment horizontal="right"/>
    </xf>
    <xf numFmtId="9" fontId="9" fillId="0" borderId="0" xfId="2" applyFont="1" applyBorder="1" applyAlignment="1">
      <alignment horizontal="right"/>
    </xf>
    <xf numFmtId="0" fontId="0" fillId="0" borderId="0" xfId="0" applyBorder="1" applyAlignment="1">
      <alignment horizontal="right"/>
    </xf>
    <xf numFmtId="0" fontId="7" fillId="0" borderId="3" xfId="3" applyFont="1" applyFill="1" applyBorder="1"/>
    <xf numFmtId="165" fontId="5" fillId="0" borderId="0" xfId="6" applyNumberFormat="1" applyFont="1" applyFill="1" applyAlignment="1">
      <alignment wrapText="1"/>
    </xf>
    <xf numFmtId="165" fontId="5" fillId="0" borderId="5" xfId="0" applyNumberFormat="1" applyFont="1" applyFill="1" applyBorder="1" applyAlignment="1">
      <alignment wrapText="1"/>
    </xf>
    <xf numFmtId="1" fontId="5" fillId="0" borderId="0" xfId="6" applyNumberFormat="1" applyFont="1" applyFill="1" applyAlignment="1"/>
    <xf numFmtId="165" fontId="5" fillId="0" borderId="0" xfId="6" applyNumberFormat="1" applyFont="1" applyFill="1" applyAlignment="1"/>
    <xf numFmtId="1" fontId="5" fillId="0" borderId="0" xfId="6" applyNumberFormat="1" applyFont="1" applyFill="1" applyBorder="1" applyAlignment="1"/>
    <xf numFmtId="165" fontId="5" fillId="0" borderId="0" xfId="6" applyNumberFormat="1" applyFont="1" applyFill="1" applyBorder="1" applyAlignment="1"/>
    <xf numFmtId="0" fontId="0" fillId="0" borderId="2" xfId="0" applyBorder="1"/>
    <xf numFmtId="0" fontId="0" fillId="0" borderId="0" xfId="0" applyBorder="1" applyAlignment="1">
      <alignment horizontal="right" wrapText="1"/>
    </xf>
    <xf numFmtId="0" fontId="1" fillId="0" borderId="3" xfId="0" applyFont="1" applyBorder="1"/>
    <xf numFmtId="0" fontId="9" fillId="0" borderId="0" xfId="0" applyFont="1"/>
    <xf numFmtId="0" fontId="9" fillId="0" borderId="3" xfId="0" applyFont="1" applyBorder="1"/>
    <xf numFmtId="0" fontId="4" fillId="0" borderId="5" xfId="0" applyFont="1" applyFill="1" applyBorder="1" applyAlignment="1">
      <alignment horizontal="left"/>
    </xf>
    <xf numFmtId="165" fontId="5" fillId="0" borderId="6" xfId="0" applyNumberFormat="1" applyFont="1" applyFill="1" applyBorder="1" applyAlignment="1">
      <alignment wrapText="1"/>
    </xf>
    <xf numFmtId="0" fontId="0" fillId="0" borderId="5" xfId="0" applyBorder="1"/>
    <xf numFmtId="0" fontId="4" fillId="0" borderId="4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11" fillId="0" borderId="5" xfId="0" applyFont="1" applyBorder="1"/>
    <xf numFmtId="0" fontId="4" fillId="0" borderId="2" xfId="0" applyFont="1" applyFill="1" applyBorder="1" applyAlignment="1">
      <alignment horizontal="left"/>
    </xf>
    <xf numFmtId="0" fontId="11" fillId="0" borderId="8" xfId="0" applyFont="1" applyBorder="1"/>
    <xf numFmtId="0" fontId="0" fillId="0" borderId="9" xfId="0" applyBorder="1"/>
    <xf numFmtId="0" fontId="0" fillId="0" borderId="7" xfId="0" applyBorder="1"/>
    <xf numFmtId="0" fontId="12" fillId="0" borderId="0" xfId="0" applyFont="1" applyAlignment="1">
      <alignment wrapText="1"/>
    </xf>
    <xf numFmtId="0" fontId="0" fillId="0" borderId="0" xfId="0"/>
    <xf numFmtId="0" fontId="14" fillId="0" borderId="0" xfId="3" applyFont="1" applyBorder="1"/>
    <xf numFmtId="165" fontId="14" fillId="0" borderId="0" xfId="3" applyNumberFormat="1" applyFont="1" applyBorder="1"/>
    <xf numFmtId="0" fontId="0" fillId="0" borderId="0" xfId="0" applyAlignment="1">
      <alignment wrapText="1"/>
    </xf>
    <xf numFmtId="165" fontId="2" fillId="0" borderId="0" xfId="0" applyNumberFormat="1" applyFont="1"/>
    <xf numFmtId="0" fontId="2" fillId="0" borderId="0" xfId="0" applyFont="1"/>
    <xf numFmtId="2" fontId="2" fillId="0" borderId="0" xfId="0" applyNumberFormat="1" applyFont="1"/>
    <xf numFmtId="0" fontId="2" fillId="0" borderId="1" xfId="0" applyFont="1" applyBorder="1"/>
    <xf numFmtId="0" fontId="2" fillId="0" borderId="3" xfId="0" applyFont="1" applyBorder="1"/>
    <xf numFmtId="0" fontId="2" fillId="0" borderId="4" xfId="0" applyFont="1" applyBorder="1"/>
    <xf numFmtId="0" fontId="14" fillId="0" borderId="0" xfId="3" applyFont="1"/>
    <xf numFmtId="2" fontId="14" fillId="0" borderId="0" xfId="3" applyNumberFormat="1" applyFont="1"/>
    <xf numFmtId="10" fontId="14" fillId="0" borderId="0" xfId="2" applyNumberFormat="1" applyFont="1"/>
    <xf numFmtId="0" fontId="14" fillId="0" borderId="3" xfId="3" applyFont="1" applyBorder="1"/>
    <xf numFmtId="0" fontId="2" fillId="0" borderId="0" xfId="0" applyFont="1" applyBorder="1" applyAlignment="1"/>
    <xf numFmtId="0" fontId="2" fillId="0" borderId="0" xfId="0" applyFont="1" applyBorder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3" xfId="0" applyFont="1" applyFill="1" applyBorder="1"/>
    <xf numFmtId="165" fontId="14" fillId="0" borderId="0" xfId="3" applyNumberFormat="1" applyFont="1" applyFill="1" applyBorder="1"/>
    <xf numFmtId="0" fontId="14" fillId="0" borderId="3" xfId="3" applyFont="1" applyFill="1" applyBorder="1"/>
    <xf numFmtId="2" fontId="2" fillId="0" borderId="0" xfId="0" applyNumberFormat="1" applyFont="1" applyBorder="1"/>
    <xf numFmtId="0" fontId="2" fillId="0" borderId="1" xfId="0" applyFont="1" applyFill="1" applyBorder="1"/>
    <xf numFmtId="2" fontId="2" fillId="0" borderId="0" xfId="0" applyNumberFormat="1" applyFont="1" applyFill="1" applyBorder="1"/>
    <xf numFmtId="2" fontId="14" fillId="0" borderId="0" xfId="3" applyNumberFormat="1" applyFont="1" applyFill="1" applyBorder="1"/>
    <xf numFmtId="10" fontId="14" fillId="0" borderId="0" xfId="2" applyNumberFormat="1" applyFont="1" applyFill="1" applyBorder="1"/>
    <xf numFmtId="0" fontId="14" fillId="0" borderId="0" xfId="3" applyFont="1" applyFill="1" applyBorder="1"/>
    <xf numFmtId="9" fontId="14" fillId="0" borderId="0" xfId="2" applyFont="1"/>
    <xf numFmtId="0" fontId="14" fillId="0" borderId="0" xfId="5" applyFont="1"/>
    <xf numFmtId="43" fontId="14" fillId="0" borderId="0" xfId="1" applyFont="1"/>
    <xf numFmtId="165" fontId="15" fillId="0" borderId="0" xfId="0" applyNumberFormat="1" applyFont="1" applyFill="1" applyBorder="1" applyAlignment="1">
      <alignment wrapText="1"/>
    </xf>
    <xf numFmtId="0" fontId="0" fillId="0" borderId="0" xfId="0" applyFont="1"/>
    <xf numFmtId="0" fontId="0" fillId="0" borderId="3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8">
    <cellStyle name="Comma" xfId="1" builtinId="3"/>
    <cellStyle name="Normal" xfId="0" builtinId="0"/>
    <cellStyle name="Normal 3" xfId="4"/>
    <cellStyle name="Normal 4" xfId="3"/>
    <cellStyle name="Normal 5" xfId="5"/>
    <cellStyle name="Normal 5 2" xfId="7"/>
    <cellStyle name="Normal 6" xfId="6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tabSelected="1" workbookViewId="0">
      <selection activeCell="H57" sqref="H57"/>
    </sheetView>
  </sheetViews>
  <sheetFormatPr defaultRowHeight="15" x14ac:dyDescent="0.25"/>
  <cols>
    <col min="1" max="1" width="57.140625" customWidth="1"/>
    <col min="2" max="2" width="9.85546875" customWidth="1"/>
    <col min="3" max="3" width="10" customWidth="1"/>
    <col min="4" max="4" width="9.7109375" customWidth="1"/>
    <col min="5" max="5" width="9.85546875" customWidth="1"/>
    <col min="6" max="6" width="9.7109375" customWidth="1"/>
    <col min="7" max="7" width="10.140625" customWidth="1"/>
    <col min="8" max="8" width="10" customWidth="1"/>
  </cols>
  <sheetData>
    <row r="1" spans="1:8" s="50" customFormat="1" ht="45" x14ac:dyDescent="0.25">
      <c r="A1" s="50" t="s">
        <v>1</v>
      </c>
      <c r="B1" s="50" t="s">
        <v>141</v>
      </c>
      <c r="C1" s="50" t="s">
        <v>142</v>
      </c>
      <c r="D1" s="50" t="s">
        <v>143</v>
      </c>
      <c r="E1" s="50" t="s">
        <v>144</v>
      </c>
      <c r="F1" s="50" t="s">
        <v>2</v>
      </c>
      <c r="G1" s="50" t="s">
        <v>4</v>
      </c>
      <c r="H1" s="50" t="s">
        <v>145</v>
      </c>
    </row>
    <row r="2" spans="1:8" x14ac:dyDescent="0.25">
      <c r="A2" t="s">
        <v>11</v>
      </c>
      <c r="B2">
        <v>27</v>
      </c>
      <c r="C2">
        <v>26</v>
      </c>
      <c r="D2">
        <v>29</v>
      </c>
      <c r="E2">
        <v>25</v>
      </c>
      <c r="F2">
        <v>29</v>
      </c>
      <c r="G2">
        <v>29</v>
      </c>
      <c r="H2">
        <v>26</v>
      </c>
    </row>
    <row r="3" spans="1:8" x14ac:dyDescent="0.25">
      <c r="A3" t="s">
        <v>12</v>
      </c>
      <c r="B3">
        <v>37</v>
      </c>
      <c r="C3">
        <v>42</v>
      </c>
      <c r="D3">
        <v>48</v>
      </c>
      <c r="E3">
        <v>42</v>
      </c>
      <c r="F3">
        <v>40</v>
      </c>
      <c r="G3">
        <v>36</v>
      </c>
      <c r="H3">
        <v>38</v>
      </c>
    </row>
    <row r="4" spans="1:8" x14ac:dyDescent="0.25">
      <c r="A4" t="s">
        <v>13</v>
      </c>
      <c r="B4">
        <v>28</v>
      </c>
      <c r="C4">
        <v>27</v>
      </c>
      <c r="D4">
        <v>28</v>
      </c>
      <c r="E4">
        <v>29</v>
      </c>
      <c r="F4">
        <v>26</v>
      </c>
      <c r="G4">
        <v>29</v>
      </c>
      <c r="H4">
        <v>26</v>
      </c>
    </row>
    <row r="5" spans="1:8" x14ac:dyDescent="0.25">
      <c r="A5" t="s">
        <v>14</v>
      </c>
      <c r="B5">
        <v>10</v>
      </c>
      <c r="C5">
        <v>9</v>
      </c>
      <c r="D5">
        <v>9</v>
      </c>
      <c r="E5">
        <v>7</v>
      </c>
      <c r="F5">
        <v>6</v>
      </c>
      <c r="G5">
        <v>6</v>
      </c>
      <c r="H5">
        <v>6</v>
      </c>
    </row>
    <row r="6" spans="1:8" x14ac:dyDescent="0.25">
      <c r="A6" t="s">
        <v>15</v>
      </c>
      <c r="B6">
        <v>13</v>
      </c>
      <c r="C6">
        <v>11</v>
      </c>
      <c r="D6">
        <v>11</v>
      </c>
      <c r="E6">
        <v>14</v>
      </c>
      <c r="F6">
        <v>14</v>
      </c>
      <c r="G6">
        <v>13</v>
      </c>
      <c r="H6">
        <v>14</v>
      </c>
    </row>
    <row r="7" spans="1:8" x14ac:dyDescent="0.25">
      <c r="A7" t="s">
        <v>16</v>
      </c>
      <c r="B7">
        <v>16</v>
      </c>
      <c r="C7">
        <v>17</v>
      </c>
      <c r="D7">
        <v>15</v>
      </c>
      <c r="E7">
        <v>19</v>
      </c>
      <c r="F7">
        <v>19</v>
      </c>
      <c r="G7">
        <v>20</v>
      </c>
      <c r="H7">
        <v>21</v>
      </c>
    </row>
    <row r="8" spans="1:8" x14ac:dyDescent="0.25">
      <c r="A8" t="s">
        <v>17</v>
      </c>
      <c r="B8">
        <v>13</v>
      </c>
      <c r="C8">
        <v>17</v>
      </c>
      <c r="D8">
        <v>18</v>
      </c>
      <c r="E8">
        <v>15</v>
      </c>
      <c r="F8">
        <v>16</v>
      </c>
      <c r="G8">
        <v>15</v>
      </c>
      <c r="H8">
        <v>15</v>
      </c>
    </row>
    <row r="9" spans="1:8" x14ac:dyDescent="0.25">
      <c r="A9" t="s">
        <v>18</v>
      </c>
      <c r="B9">
        <v>12</v>
      </c>
      <c r="C9">
        <v>14</v>
      </c>
      <c r="D9">
        <v>14</v>
      </c>
      <c r="E9">
        <v>14</v>
      </c>
      <c r="F9">
        <v>11</v>
      </c>
      <c r="G9">
        <v>17</v>
      </c>
      <c r="H9">
        <v>19</v>
      </c>
    </row>
    <row r="10" spans="1:8" x14ac:dyDescent="0.25">
      <c r="A10" t="s">
        <v>19</v>
      </c>
      <c r="B10">
        <v>5</v>
      </c>
      <c r="C10">
        <v>3</v>
      </c>
      <c r="D10">
        <v>3</v>
      </c>
      <c r="E10">
        <v>3</v>
      </c>
      <c r="F10">
        <v>3</v>
      </c>
      <c r="G10">
        <v>3</v>
      </c>
      <c r="H10">
        <v>4</v>
      </c>
    </row>
    <row r="11" spans="1:8" x14ac:dyDescent="0.25">
      <c r="A11" t="s">
        <v>20</v>
      </c>
      <c r="B11">
        <v>5</v>
      </c>
      <c r="C11">
        <v>3</v>
      </c>
      <c r="D11">
        <v>3</v>
      </c>
      <c r="E11">
        <v>3</v>
      </c>
      <c r="F11">
        <v>3</v>
      </c>
      <c r="G11">
        <v>5</v>
      </c>
      <c r="H11">
        <v>6</v>
      </c>
    </row>
    <row r="12" spans="1:8" x14ac:dyDescent="0.25">
      <c r="A12" t="s">
        <v>21</v>
      </c>
      <c r="B12">
        <v>31</v>
      </c>
      <c r="C12">
        <v>46</v>
      </c>
      <c r="D12">
        <v>54</v>
      </c>
      <c r="E12">
        <v>55</v>
      </c>
      <c r="F12">
        <v>54</v>
      </c>
      <c r="G12">
        <v>49</v>
      </c>
      <c r="H12">
        <v>45</v>
      </c>
    </row>
    <row r="13" spans="1:8" x14ac:dyDescent="0.25">
      <c r="A13" t="s">
        <v>22</v>
      </c>
      <c r="B13">
        <v>24</v>
      </c>
      <c r="C13">
        <v>32</v>
      </c>
      <c r="D13">
        <v>31</v>
      </c>
      <c r="E13">
        <v>28</v>
      </c>
      <c r="F13">
        <v>45</v>
      </c>
      <c r="G13">
        <v>41</v>
      </c>
      <c r="H13">
        <v>41</v>
      </c>
    </row>
    <row r="14" spans="1:8" x14ac:dyDescent="0.25">
      <c r="A14" t="s">
        <v>23</v>
      </c>
      <c r="B14">
        <v>9</v>
      </c>
      <c r="C14">
        <v>9</v>
      </c>
      <c r="D14">
        <v>14</v>
      </c>
      <c r="E14">
        <v>11</v>
      </c>
      <c r="F14">
        <v>15</v>
      </c>
      <c r="G14">
        <v>14</v>
      </c>
      <c r="H14">
        <v>13</v>
      </c>
    </row>
    <row r="15" spans="1:8" x14ac:dyDescent="0.25">
      <c r="A15" t="s">
        <v>24</v>
      </c>
      <c r="B15">
        <v>9</v>
      </c>
      <c r="C15">
        <v>13</v>
      </c>
      <c r="D15">
        <v>12</v>
      </c>
      <c r="E15">
        <v>11</v>
      </c>
      <c r="F15">
        <v>7</v>
      </c>
      <c r="G15">
        <v>8</v>
      </c>
      <c r="H15">
        <v>7</v>
      </c>
    </row>
    <row r="16" spans="1:8" x14ac:dyDescent="0.25">
      <c r="A16" t="s">
        <v>25</v>
      </c>
      <c r="B16">
        <v>15</v>
      </c>
      <c r="C16">
        <v>13</v>
      </c>
      <c r="D16">
        <v>15</v>
      </c>
      <c r="E16">
        <v>13</v>
      </c>
      <c r="F16">
        <v>11</v>
      </c>
      <c r="G16">
        <v>13</v>
      </c>
      <c r="H16">
        <v>14</v>
      </c>
    </row>
    <row r="17" spans="1:8" x14ac:dyDescent="0.25">
      <c r="A17" t="s">
        <v>26</v>
      </c>
      <c r="B17">
        <v>17</v>
      </c>
      <c r="C17">
        <v>20</v>
      </c>
      <c r="D17">
        <v>21</v>
      </c>
      <c r="E17">
        <v>24</v>
      </c>
      <c r="F17">
        <v>22</v>
      </c>
      <c r="G17">
        <v>22</v>
      </c>
      <c r="H17">
        <v>22</v>
      </c>
    </row>
    <row r="18" spans="1:8" x14ac:dyDescent="0.25">
      <c r="A18" t="s">
        <v>27</v>
      </c>
      <c r="B18">
        <v>14</v>
      </c>
      <c r="C18">
        <v>15</v>
      </c>
      <c r="D18">
        <v>12</v>
      </c>
      <c r="E18">
        <v>16</v>
      </c>
      <c r="F18">
        <v>12</v>
      </c>
      <c r="G18">
        <v>15</v>
      </c>
      <c r="H18">
        <v>14</v>
      </c>
    </row>
    <row r="19" spans="1:8" x14ac:dyDescent="0.25">
      <c r="A19" t="s">
        <v>28</v>
      </c>
      <c r="B19">
        <v>28</v>
      </c>
      <c r="C19">
        <v>28</v>
      </c>
      <c r="D19">
        <v>34</v>
      </c>
      <c r="E19">
        <v>30</v>
      </c>
      <c r="F19">
        <v>30</v>
      </c>
      <c r="G19">
        <v>30</v>
      </c>
      <c r="H19">
        <v>29</v>
      </c>
    </row>
    <row r="20" spans="1:8" x14ac:dyDescent="0.25">
      <c r="A20" t="s">
        <v>29</v>
      </c>
      <c r="B20">
        <v>15</v>
      </c>
      <c r="C20">
        <v>11</v>
      </c>
      <c r="D20">
        <v>10</v>
      </c>
      <c r="E20">
        <v>7</v>
      </c>
      <c r="F20">
        <v>11</v>
      </c>
      <c r="G20">
        <v>10</v>
      </c>
      <c r="H20">
        <v>11</v>
      </c>
    </row>
    <row r="21" spans="1:8" x14ac:dyDescent="0.25">
      <c r="A21" t="s">
        <v>30</v>
      </c>
      <c r="B21">
        <v>10</v>
      </c>
      <c r="C21">
        <v>13</v>
      </c>
      <c r="D21">
        <v>13</v>
      </c>
      <c r="E21">
        <v>21</v>
      </c>
      <c r="F21">
        <v>14</v>
      </c>
      <c r="G21">
        <v>19</v>
      </c>
      <c r="H21">
        <v>17</v>
      </c>
    </row>
    <row r="22" spans="1:8" x14ac:dyDescent="0.25">
      <c r="A22" t="s">
        <v>31</v>
      </c>
      <c r="B22">
        <v>17</v>
      </c>
      <c r="C22">
        <v>17</v>
      </c>
      <c r="D22">
        <v>18</v>
      </c>
      <c r="E22">
        <v>22</v>
      </c>
      <c r="F22">
        <v>25</v>
      </c>
      <c r="G22">
        <v>23</v>
      </c>
      <c r="H22">
        <v>25</v>
      </c>
    </row>
    <row r="23" spans="1:8" x14ac:dyDescent="0.25">
      <c r="A23" t="s">
        <v>32</v>
      </c>
      <c r="B23">
        <v>19</v>
      </c>
      <c r="C23">
        <v>15</v>
      </c>
      <c r="D23">
        <v>13</v>
      </c>
      <c r="E23">
        <v>16</v>
      </c>
      <c r="F23">
        <v>17</v>
      </c>
      <c r="G23">
        <v>15</v>
      </c>
      <c r="H23">
        <v>15</v>
      </c>
    </row>
    <row r="24" spans="1:8" x14ac:dyDescent="0.25">
      <c r="A24" t="s">
        <v>33</v>
      </c>
      <c r="B24">
        <v>15</v>
      </c>
      <c r="C24">
        <v>13</v>
      </c>
      <c r="D24">
        <v>11</v>
      </c>
      <c r="E24">
        <v>12</v>
      </c>
      <c r="F24">
        <v>11</v>
      </c>
      <c r="G24">
        <v>10</v>
      </c>
      <c r="H24">
        <v>9</v>
      </c>
    </row>
    <row r="25" spans="1:8" x14ac:dyDescent="0.25">
      <c r="A25" t="s">
        <v>34</v>
      </c>
      <c r="B25">
        <v>12</v>
      </c>
      <c r="C25">
        <v>10</v>
      </c>
      <c r="D25">
        <v>8</v>
      </c>
      <c r="E25">
        <v>8</v>
      </c>
      <c r="F25">
        <v>5</v>
      </c>
      <c r="G25">
        <v>8</v>
      </c>
      <c r="H25">
        <v>8</v>
      </c>
    </row>
    <row r="26" spans="1:8" x14ac:dyDescent="0.25">
      <c r="A26" t="s">
        <v>35</v>
      </c>
      <c r="B26">
        <v>15</v>
      </c>
      <c r="C26">
        <v>17</v>
      </c>
      <c r="D26">
        <v>14</v>
      </c>
      <c r="E26">
        <v>18</v>
      </c>
      <c r="F26">
        <v>15</v>
      </c>
      <c r="G26">
        <v>20</v>
      </c>
      <c r="H26">
        <v>18</v>
      </c>
    </row>
    <row r="27" spans="1:8" x14ac:dyDescent="0.25">
      <c r="A27" t="s">
        <v>36</v>
      </c>
      <c r="B27">
        <v>15</v>
      </c>
      <c r="C27">
        <v>13</v>
      </c>
      <c r="D27">
        <v>14</v>
      </c>
      <c r="E27">
        <v>12</v>
      </c>
      <c r="F27">
        <v>11</v>
      </c>
      <c r="G27">
        <v>15</v>
      </c>
      <c r="H27">
        <v>15</v>
      </c>
    </row>
    <row r="28" spans="1:8" x14ac:dyDescent="0.25">
      <c r="A28" t="s">
        <v>37</v>
      </c>
      <c r="B28">
        <v>9</v>
      </c>
      <c r="C28">
        <v>8</v>
      </c>
      <c r="D28">
        <v>6</v>
      </c>
      <c r="E28">
        <v>5</v>
      </c>
      <c r="F28">
        <v>7</v>
      </c>
      <c r="G28">
        <v>6</v>
      </c>
      <c r="H28">
        <v>6</v>
      </c>
    </row>
    <row r="29" spans="1:8" x14ac:dyDescent="0.25">
      <c r="A29" t="s">
        <v>38</v>
      </c>
      <c r="B29">
        <v>8</v>
      </c>
      <c r="C29">
        <v>6</v>
      </c>
      <c r="D29">
        <v>5</v>
      </c>
      <c r="E29">
        <v>4</v>
      </c>
      <c r="F29">
        <v>5</v>
      </c>
      <c r="G29">
        <v>7</v>
      </c>
      <c r="H29">
        <v>7</v>
      </c>
    </row>
    <row r="30" spans="1:8" x14ac:dyDescent="0.25">
      <c r="A30" t="s">
        <v>39</v>
      </c>
      <c r="B30">
        <v>8</v>
      </c>
      <c r="C30">
        <v>9</v>
      </c>
      <c r="D30">
        <v>7</v>
      </c>
      <c r="E30">
        <v>7</v>
      </c>
      <c r="F30">
        <v>6</v>
      </c>
      <c r="G30">
        <v>9</v>
      </c>
      <c r="H30">
        <v>8</v>
      </c>
    </row>
    <row r="31" spans="1:8" x14ac:dyDescent="0.25">
      <c r="A31" t="s">
        <v>40</v>
      </c>
      <c r="B31">
        <v>10</v>
      </c>
      <c r="C31">
        <v>9</v>
      </c>
      <c r="D31">
        <v>8</v>
      </c>
      <c r="E31">
        <v>8</v>
      </c>
      <c r="F31">
        <v>6</v>
      </c>
      <c r="G31">
        <v>7</v>
      </c>
      <c r="H31">
        <v>7</v>
      </c>
    </row>
    <row r="32" spans="1:8" x14ac:dyDescent="0.25">
      <c r="A32" t="s">
        <v>41</v>
      </c>
      <c r="B32">
        <v>12</v>
      </c>
      <c r="C32">
        <v>13</v>
      </c>
      <c r="D32">
        <v>15</v>
      </c>
      <c r="E32">
        <v>12</v>
      </c>
      <c r="F32">
        <v>10</v>
      </c>
      <c r="G32">
        <v>14</v>
      </c>
      <c r="H32">
        <v>15</v>
      </c>
    </row>
    <row r="33" spans="1:8" x14ac:dyDescent="0.25">
      <c r="A33" t="s">
        <v>42</v>
      </c>
      <c r="B33">
        <v>14</v>
      </c>
      <c r="C33">
        <v>14</v>
      </c>
      <c r="D33">
        <v>13</v>
      </c>
      <c r="E33">
        <v>15</v>
      </c>
      <c r="F33">
        <v>17</v>
      </c>
      <c r="G33">
        <v>15</v>
      </c>
      <c r="H33">
        <v>15</v>
      </c>
    </row>
    <row r="34" spans="1:8" x14ac:dyDescent="0.25">
      <c r="A34" t="s">
        <v>43</v>
      </c>
      <c r="B34">
        <v>13</v>
      </c>
      <c r="C34">
        <v>7</v>
      </c>
      <c r="D34">
        <v>13</v>
      </c>
      <c r="E34">
        <v>11</v>
      </c>
      <c r="F34">
        <v>10</v>
      </c>
      <c r="G34">
        <v>11</v>
      </c>
      <c r="H34">
        <v>11</v>
      </c>
    </row>
    <row r="35" spans="1:8" x14ac:dyDescent="0.25">
      <c r="A35" t="s">
        <v>44</v>
      </c>
      <c r="B35">
        <v>7</v>
      </c>
      <c r="C35">
        <v>7</v>
      </c>
      <c r="D35">
        <v>7</v>
      </c>
      <c r="E35">
        <v>8</v>
      </c>
      <c r="F35">
        <v>10</v>
      </c>
      <c r="G35">
        <v>10</v>
      </c>
      <c r="H35">
        <v>10</v>
      </c>
    </row>
    <row r="36" spans="1:8" x14ac:dyDescent="0.25">
      <c r="A36" t="s">
        <v>45</v>
      </c>
      <c r="B36">
        <v>12</v>
      </c>
      <c r="C36">
        <v>10</v>
      </c>
      <c r="D36">
        <v>12</v>
      </c>
      <c r="E36">
        <v>10</v>
      </c>
      <c r="F36">
        <v>10</v>
      </c>
      <c r="G36">
        <v>15</v>
      </c>
      <c r="H36">
        <v>14</v>
      </c>
    </row>
    <row r="37" spans="1:8" x14ac:dyDescent="0.25">
      <c r="A37" t="s">
        <v>46</v>
      </c>
      <c r="B37">
        <v>22</v>
      </c>
      <c r="C37">
        <v>25</v>
      </c>
      <c r="D37">
        <v>20</v>
      </c>
      <c r="E37">
        <v>20</v>
      </c>
      <c r="F37">
        <v>23</v>
      </c>
      <c r="G37">
        <v>21</v>
      </c>
      <c r="H37">
        <v>22</v>
      </c>
    </row>
    <row r="38" spans="1:8" x14ac:dyDescent="0.25">
      <c r="A38" t="s">
        <v>47</v>
      </c>
      <c r="B38">
        <v>18</v>
      </c>
      <c r="C38">
        <v>16</v>
      </c>
      <c r="D38">
        <v>16</v>
      </c>
      <c r="E38">
        <v>19</v>
      </c>
      <c r="F38">
        <v>14</v>
      </c>
      <c r="G38">
        <v>16</v>
      </c>
      <c r="H38">
        <v>14</v>
      </c>
    </row>
    <row r="39" spans="1:8" x14ac:dyDescent="0.25">
      <c r="A39" t="s">
        <v>48</v>
      </c>
      <c r="B39">
        <v>14</v>
      </c>
      <c r="C39">
        <v>14</v>
      </c>
      <c r="D39">
        <v>13</v>
      </c>
      <c r="E39">
        <v>14</v>
      </c>
      <c r="F39">
        <v>13</v>
      </c>
      <c r="G39">
        <v>12</v>
      </c>
      <c r="H39">
        <v>13</v>
      </c>
    </row>
    <row r="40" spans="1:8" x14ac:dyDescent="0.25">
      <c r="A40" t="s">
        <v>49</v>
      </c>
      <c r="B40">
        <v>7</v>
      </c>
      <c r="C40">
        <v>4</v>
      </c>
      <c r="D40">
        <v>5</v>
      </c>
      <c r="E40">
        <v>8</v>
      </c>
      <c r="F40">
        <v>6</v>
      </c>
      <c r="G40">
        <v>8</v>
      </c>
      <c r="H40">
        <v>9</v>
      </c>
    </row>
    <row r="41" spans="1:8" x14ac:dyDescent="0.25">
      <c r="A41" t="s">
        <v>50</v>
      </c>
      <c r="B41">
        <v>7</v>
      </c>
      <c r="C41">
        <v>5</v>
      </c>
      <c r="D41">
        <v>5</v>
      </c>
      <c r="E41">
        <v>6</v>
      </c>
      <c r="F41">
        <v>7</v>
      </c>
      <c r="G41">
        <v>6</v>
      </c>
      <c r="H41">
        <v>7</v>
      </c>
    </row>
    <row r="42" spans="1:8" x14ac:dyDescent="0.25">
      <c r="A42" t="s">
        <v>51</v>
      </c>
      <c r="B42">
        <v>8</v>
      </c>
      <c r="C42">
        <v>5</v>
      </c>
      <c r="D42">
        <v>6</v>
      </c>
      <c r="E42">
        <v>4</v>
      </c>
      <c r="F42">
        <v>3</v>
      </c>
      <c r="G42">
        <v>5</v>
      </c>
      <c r="H42">
        <v>5</v>
      </c>
    </row>
    <row r="43" spans="1:8" x14ac:dyDescent="0.25">
      <c r="A43" t="s">
        <v>52</v>
      </c>
      <c r="B43">
        <v>9</v>
      </c>
      <c r="C43">
        <v>7</v>
      </c>
      <c r="D43">
        <v>5</v>
      </c>
      <c r="E43">
        <v>6</v>
      </c>
      <c r="F43">
        <v>5</v>
      </c>
      <c r="G43">
        <v>8</v>
      </c>
      <c r="H43">
        <v>8</v>
      </c>
    </row>
    <row r="44" spans="1:8" x14ac:dyDescent="0.25">
      <c r="A44" t="s">
        <v>53</v>
      </c>
      <c r="B44">
        <v>14</v>
      </c>
      <c r="C44">
        <v>12</v>
      </c>
      <c r="D44">
        <v>9</v>
      </c>
      <c r="E44">
        <v>9</v>
      </c>
      <c r="F44">
        <v>7</v>
      </c>
      <c r="G44">
        <v>8</v>
      </c>
      <c r="H44">
        <v>8</v>
      </c>
    </row>
    <row r="45" spans="1:8" x14ac:dyDescent="0.25">
      <c r="A45" t="s">
        <v>54</v>
      </c>
      <c r="B45">
        <v>15</v>
      </c>
      <c r="C45">
        <v>17</v>
      </c>
      <c r="D45">
        <v>20</v>
      </c>
      <c r="E45">
        <v>13</v>
      </c>
      <c r="F45">
        <v>19</v>
      </c>
      <c r="G45">
        <v>17</v>
      </c>
      <c r="H45">
        <v>18</v>
      </c>
    </row>
    <row r="46" spans="1:8" x14ac:dyDescent="0.25">
      <c r="A46" t="s">
        <v>55</v>
      </c>
      <c r="B46">
        <v>10</v>
      </c>
      <c r="C46">
        <v>8</v>
      </c>
      <c r="D46">
        <v>7</v>
      </c>
      <c r="E46">
        <v>7</v>
      </c>
      <c r="F46">
        <v>11</v>
      </c>
      <c r="G46">
        <v>9</v>
      </c>
      <c r="H46">
        <v>10</v>
      </c>
    </row>
    <row r="47" spans="1:8" x14ac:dyDescent="0.25">
      <c r="A47" t="s">
        <v>56</v>
      </c>
      <c r="B47">
        <v>22</v>
      </c>
      <c r="C47">
        <v>20</v>
      </c>
      <c r="D47">
        <v>14</v>
      </c>
      <c r="E47">
        <v>14</v>
      </c>
      <c r="F47">
        <v>12</v>
      </c>
      <c r="G47">
        <v>17</v>
      </c>
      <c r="H47">
        <v>19</v>
      </c>
    </row>
    <row r="48" spans="1:8" x14ac:dyDescent="0.25">
      <c r="A48" t="s">
        <v>57</v>
      </c>
      <c r="B48">
        <v>3</v>
      </c>
      <c r="C48">
        <v>3</v>
      </c>
      <c r="D48">
        <v>3</v>
      </c>
      <c r="E48">
        <v>3</v>
      </c>
      <c r="F48">
        <v>3</v>
      </c>
      <c r="G48">
        <v>4</v>
      </c>
      <c r="H48">
        <v>4</v>
      </c>
    </row>
    <row r="49" spans="1:8" x14ac:dyDescent="0.25">
      <c r="A49" t="s">
        <v>58</v>
      </c>
      <c r="C49">
        <v>3</v>
      </c>
      <c r="D49">
        <v>5</v>
      </c>
      <c r="E49">
        <v>5</v>
      </c>
      <c r="F49">
        <v>3</v>
      </c>
      <c r="G49">
        <v>5</v>
      </c>
      <c r="H49">
        <v>5</v>
      </c>
    </row>
    <row r="50" spans="1:8" x14ac:dyDescent="0.25">
      <c r="A50" t="s">
        <v>59</v>
      </c>
      <c r="C50">
        <v>3</v>
      </c>
      <c r="D50">
        <v>4</v>
      </c>
      <c r="E50">
        <v>3</v>
      </c>
      <c r="F50">
        <v>3</v>
      </c>
      <c r="G50">
        <v>3</v>
      </c>
      <c r="H50">
        <v>3</v>
      </c>
    </row>
    <row r="51" spans="1:8" x14ac:dyDescent="0.25">
      <c r="A51" t="s">
        <v>60</v>
      </c>
      <c r="D51">
        <v>3</v>
      </c>
      <c r="E51">
        <v>6</v>
      </c>
      <c r="F51">
        <v>4</v>
      </c>
      <c r="G51">
        <v>5</v>
      </c>
      <c r="H51">
        <v>5</v>
      </c>
    </row>
    <row r="52" spans="1:8" x14ac:dyDescent="0.25">
      <c r="A52" t="s">
        <v>61</v>
      </c>
      <c r="D52">
        <v>3</v>
      </c>
      <c r="E52">
        <v>3</v>
      </c>
      <c r="F52">
        <v>7</v>
      </c>
      <c r="G52">
        <v>7</v>
      </c>
      <c r="H52">
        <v>8</v>
      </c>
    </row>
    <row r="53" spans="1:8" x14ac:dyDescent="0.25">
      <c r="A53" t="s">
        <v>62</v>
      </c>
      <c r="F53">
        <v>3</v>
      </c>
      <c r="G53">
        <v>15</v>
      </c>
      <c r="H53">
        <v>14</v>
      </c>
    </row>
    <row r="54" spans="1:8" x14ac:dyDescent="0.25">
      <c r="A54" t="s">
        <v>63</v>
      </c>
      <c r="G54">
        <v>3</v>
      </c>
      <c r="H54">
        <v>6</v>
      </c>
    </row>
    <row r="55" spans="1:8" x14ac:dyDescent="0.25">
      <c r="A55" t="s">
        <v>64</v>
      </c>
      <c r="H55">
        <v>3</v>
      </c>
    </row>
    <row r="56" spans="1:8" x14ac:dyDescent="0.25">
      <c r="A56" t="s">
        <v>65</v>
      </c>
      <c r="H56">
        <v>3</v>
      </c>
    </row>
    <row r="57" spans="1:8" x14ac:dyDescent="0.25">
      <c r="B57">
        <v>673</v>
      </c>
      <c r="C57">
        <v>679</v>
      </c>
      <c r="D57">
        <v>696</v>
      </c>
      <c r="E57">
        <v>695</v>
      </c>
      <c r="F57">
        <v>696</v>
      </c>
      <c r="G57">
        <v>748</v>
      </c>
      <c r="H57">
        <v>755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7"/>
  <sheetViews>
    <sheetView topLeftCell="M13" zoomScale="75" zoomScaleNormal="75" workbookViewId="0">
      <selection activeCell="AC39" sqref="AC39"/>
    </sheetView>
  </sheetViews>
  <sheetFormatPr defaultRowHeight="15" x14ac:dyDescent="0.25"/>
  <cols>
    <col min="1" max="1" width="29.7109375" customWidth="1"/>
    <col min="2" max="2" width="9.7109375" customWidth="1"/>
    <col min="3" max="3" width="10.7109375" customWidth="1"/>
    <col min="4" max="4" width="10.28515625" customWidth="1"/>
    <col min="5" max="5" width="10.42578125" customWidth="1"/>
    <col min="6" max="6" width="9.7109375" customWidth="1"/>
    <col min="7" max="7" width="10.42578125" bestFit="1" customWidth="1"/>
    <col min="8" max="8" width="13.85546875" bestFit="1" customWidth="1"/>
    <col min="10" max="10" width="10.7109375" customWidth="1"/>
    <col min="11" max="11" width="8.140625" customWidth="1"/>
    <col min="13" max="13" width="11.140625" customWidth="1"/>
    <col min="14" max="14" width="11" customWidth="1"/>
    <col min="15" max="15" width="11.28515625" customWidth="1"/>
    <col min="16" max="17" width="11.140625" customWidth="1"/>
    <col min="18" max="18" width="9.5703125" customWidth="1"/>
    <col min="20" max="20" width="9.85546875" customWidth="1"/>
    <col min="22" max="22" width="11.42578125" customWidth="1"/>
    <col min="23" max="24" width="10.140625" customWidth="1"/>
    <col min="26" max="26" width="10.42578125" customWidth="1"/>
    <col min="29" max="29" width="10.42578125" bestFit="1" customWidth="1"/>
    <col min="30" max="30" width="10" customWidth="1"/>
    <col min="31" max="32" width="9.5703125" customWidth="1"/>
    <col min="33" max="33" width="11.42578125" style="1" customWidth="1"/>
  </cols>
  <sheetData>
    <row r="1" spans="1:33" x14ac:dyDescent="0.25">
      <c r="A1" s="2"/>
      <c r="B1" s="80" t="s">
        <v>0</v>
      </c>
      <c r="C1" s="81"/>
      <c r="D1" s="81"/>
      <c r="E1" s="81"/>
      <c r="F1" s="81"/>
      <c r="G1" s="81"/>
      <c r="H1" s="81"/>
      <c r="I1" s="81"/>
      <c r="J1" s="82"/>
      <c r="K1" s="83" t="s">
        <v>72</v>
      </c>
      <c r="L1" s="84"/>
      <c r="M1" s="84"/>
      <c r="N1" s="84"/>
      <c r="O1" s="84"/>
      <c r="P1" s="84"/>
      <c r="Q1" s="84"/>
      <c r="R1" s="13"/>
      <c r="S1" s="86" t="s">
        <v>127</v>
      </c>
      <c r="T1" s="87"/>
      <c r="U1" s="87"/>
      <c r="V1" s="87"/>
      <c r="W1" s="87"/>
      <c r="X1" s="87"/>
      <c r="Y1" s="31"/>
      <c r="Z1" s="12"/>
      <c r="AA1" s="12"/>
      <c r="AB1" s="13"/>
    </row>
    <row r="2" spans="1:33" ht="45.75" x14ac:dyDescent="0.25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5" t="s">
        <v>7</v>
      </c>
      <c r="H2" s="6" t="s">
        <v>8</v>
      </c>
      <c r="I2" s="6" t="s">
        <v>9</v>
      </c>
      <c r="J2" s="7" t="s">
        <v>10</v>
      </c>
      <c r="K2" s="25" t="s">
        <v>73</v>
      </c>
      <c r="L2" s="25" t="s">
        <v>74</v>
      </c>
      <c r="M2" s="25" t="s">
        <v>124</v>
      </c>
      <c r="N2" s="25" t="s">
        <v>75</v>
      </c>
      <c r="O2" s="25" t="s">
        <v>76</v>
      </c>
      <c r="P2" s="25" t="s">
        <v>77</v>
      </c>
      <c r="Q2" s="5" t="s">
        <v>78</v>
      </c>
      <c r="R2" s="26" t="s">
        <v>120</v>
      </c>
      <c r="S2" s="37" t="s">
        <v>135</v>
      </c>
      <c r="T2" s="5" t="s">
        <v>122</v>
      </c>
      <c r="U2" s="5" t="s">
        <v>128</v>
      </c>
      <c r="V2" s="5" t="s">
        <v>129</v>
      </c>
      <c r="W2" s="5" t="s">
        <v>130</v>
      </c>
      <c r="X2" s="26" t="s">
        <v>123</v>
      </c>
      <c r="Y2" s="5" t="s">
        <v>121</v>
      </c>
      <c r="Z2" s="5" t="s">
        <v>131</v>
      </c>
      <c r="AA2" s="5" t="s">
        <v>132</v>
      </c>
      <c r="AB2" s="7" t="s">
        <v>133</v>
      </c>
      <c r="AC2" s="5" t="s">
        <v>134</v>
      </c>
      <c r="AD2" s="5" t="s">
        <v>4</v>
      </c>
      <c r="AE2" s="5" t="s">
        <v>125</v>
      </c>
      <c r="AF2" s="5" t="s">
        <v>126</v>
      </c>
      <c r="AG2" s="77" t="s">
        <v>148</v>
      </c>
    </row>
    <row r="3" spans="1:33" x14ac:dyDescent="0.25">
      <c r="A3" s="8" t="s">
        <v>11</v>
      </c>
      <c r="B3" s="57">
        <v>29</v>
      </c>
      <c r="C3" s="51">
        <v>22.544821766624029</v>
      </c>
      <c r="D3" s="52">
        <v>29</v>
      </c>
      <c r="E3" s="51">
        <v>18.562192834448531</v>
      </c>
      <c r="F3" s="57">
        <f>B3*C3</f>
        <v>653.79983123209684</v>
      </c>
      <c r="G3" s="53">
        <f t="shared" ref="G3:G55" si="0">E3*D3</f>
        <v>538.30359219900743</v>
      </c>
      <c r="H3" s="58">
        <f t="shared" ref="H3:H55" si="1">F3+G3</f>
        <v>1192.1034234311041</v>
      </c>
      <c r="I3" s="59">
        <f>IF(K3="", H3/$H$60, H3/$H$59)</f>
        <v>0.13099198364095127</v>
      </c>
      <c r="J3" s="54">
        <f t="shared" ref="J3:J57" si="2">IF(K3="", I3*$C$66, I3*$C$65)</f>
        <v>13.091618665172563</v>
      </c>
      <c r="K3" s="27"/>
      <c r="L3" s="28"/>
      <c r="M3" s="66"/>
      <c r="N3" s="66"/>
      <c r="O3" s="61" t="str">
        <f>IF(K3&lt;&gt;"", SUM(M3:N3), "")</f>
        <v/>
      </c>
      <c r="P3" s="62" t="str">
        <f>IF(K3&lt;&gt;"", O3/$O$58, "")</f>
        <v/>
      </c>
      <c r="Q3" s="62">
        <f t="shared" ref="Q3:Q57" si="3">IF(K3&lt;&gt;"", P3*$C$65, J3)</f>
        <v>13.091618665172563</v>
      </c>
      <c r="R3" s="54">
        <f>J3+Q3</f>
        <v>26.183237330345126</v>
      </c>
      <c r="S3" s="32">
        <v>256</v>
      </c>
      <c r="T3">
        <f>((R3*4)/S3)*100</f>
        <v>40.911308328664262</v>
      </c>
      <c r="U3">
        <f>($T$58/100)*S3</f>
        <v>89.92157783517257</v>
      </c>
      <c r="V3">
        <f>U3/4</f>
        <v>22.480394458793143</v>
      </c>
      <c r="W3" s="14">
        <f>IF(V3-R3&gt;0, V3-R3, 0)</f>
        <v>0</v>
      </c>
      <c r="X3" s="9">
        <f>(W3/$W$58)*$C$63</f>
        <v>0</v>
      </c>
      <c r="Y3">
        <f>R3+X3</f>
        <v>26.183237330345126</v>
      </c>
      <c r="Z3">
        <f>((Y3*4)/S3)*100</f>
        <v>40.911308328664262</v>
      </c>
      <c r="AA3">
        <f>Z3-$Z$58</f>
        <v>5.7856919867999679</v>
      </c>
      <c r="AB3" s="9" t="str">
        <f>IF(AA3&lt;0, ABS(AA3), "")</f>
        <v/>
      </c>
      <c r="AC3" s="78">
        <f>ROUND(Y3, 0)</f>
        <v>26</v>
      </c>
      <c r="AD3" s="34">
        <v>29</v>
      </c>
      <c r="AE3">
        <f>AD3*1.1</f>
        <v>31.900000000000002</v>
      </c>
      <c r="AF3" s="34">
        <f>AD3*0.9</f>
        <v>26.1</v>
      </c>
      <c r="AG3" s="1">
        <f>IF(AC3&lt;AF3, ROUND(AF3, 0), IF(AC3&gt;AE3, ROUND(AE3, 0), AC3))</f>
        <v>26</v>
      </c>
    </row>
    <row r="4" spans="1:33" x14ac:dyDescent="0.25">
      <c r="A4" s="8" t="s">
        <v>12</v>
      </c>
      <c r="B4" s="57">
        <v>40</v>
      </c>
      <c r="C4" s="51">
        <v>22.802103198049508</v>
      </c>
      <c r="D4" s="52">
        <v>36</v>
      </c>
      <c r="E4" s="51">
        <v>23.289183588321972</v>
      </c>
      <c r="F4" s="57">
        <f t="shared" ref="F4:F55" si="4">B4*C4</f>
        <v>912.08412792198033</v>
      </c>
      <c r="G4" s="53">
        <f t="shared" si="0"/>
        <v>838.41060917959101</v>
      </c>
      <c r="H4" s="58">
        <f t="shared" si="1"/>
        <v>1750.4947371015714</v>
      </c>
      <c r="I4" s="59">
        <f t="shared" ref="I4:I55" si="5">IF(K4="", H4/$H$60, H4/$H$59)</f>
        <v>8.1230528856659726E-2</v>
      </c>
      <c r="J4" s="54">
        <f t="shared" si="2"/>
        <v>19.223843437649276</v>
      </c>
      <c r="K4" s="27">
        <v>17</v>
      </c>
      <c r="L4" s="28" t="s">
        <v>79</v>
      </c>
      <c r="M4" s="61">
        <v>742</v>
      </c>
      <c r="N4" s="52">
        <v>912</v>
      </c>
      <c r="O4" s="61">
        <f t="shared" ref="O4:O56" si="6">IF(K4&lt;&gt;"", SUM(M4:N4), "")</f>
        <v>1654</v>
      </c>
      <c r="P4" s="62">
        <f t="shared" ref="P4:P57" si="7">IF(K4&lt;&gt;"", O4/$O$58, "")</f>
        <v>3.6227439985982129E-2</v>
      </c>
      <c r="Q4" s="62">
        <f t="shared" si="3"/>
        <v>8.5735085594023968</v>
      </c>
      <c r="R4" s="54">
        <f t="shared" ref="R4:R57" si="8">J4+Q4</f>
        <v>27.79735199705167</v>
      </c>
      <c r="S4" s="32">
        <v>509</v>
      </c>
      <c r="T4" s="47">
        <f t="shared" ref="T4:T55" si="9">((R4*4)/S4)*100</f>
        <v>21.844677404362805</v>
      </c>
      <c r="U4">
        <f t="shared" ref="U4:U55" si="10">($T$58/100)*S4</f>
        <v>178.78938718008922</v>
      </c>
      <c r="V4" s="47">
        <f t="shared" ref="V4:V55" si="11">U4/4</f>
        <v>44.697346795022305</v>
      </c>
      <c r="W4" s="14">
        <f t="shared" ref="W4:W55" si="12">IF(V4-R4&gt;0, V4-R4, 0)</f>
        <v>16.899994797970635</v>
      </c>
      <c r="X4" s="9">
        <f t="shared" ref="X4:X55" si="13">(W4/$W$58)*$C$63</f>
        <v>9.8693207642400651</v>
      </c>
      <c r="Y4">
        <f t="shared" ref="Y4:Y55" si="14">R4+X4</f>
        <v>37.666672761291736</v>
      </c>
      <c r="Z4" s="47">
        <f t="shared" ref="Z4:Z55" si="15">((Y4*4)/S4)*100</f>
        <v>29.600528692567181</v>
      </c>
      <c r="AA4">
        <f t="shared" ref="AA4:AA55" si="16">Z4-$Z$58</f>
        <v>-5.525087649297113</v>
      </c>
      <c r="AB4" s="9">
        <f t="shared" ref="AB4:AB54" si="17">IF(AA4&lt;0, ABS(AA4), "")</f>
        <v>5.525087649297113</v>
      </c>
      <c r="AC4" s="78">
        <f t="shared" ref="AC4:AC55" si="18">ROUND(Y4, 0)</f>
        <v>38</v>
      </c>
      <c r="AD4" s="34">
        <v>36</v>
      </c>
      <c r="AE4">
        <f t="shared" ref="AE4:AE55" si="19">AD4*1.1</f>
        <v>39.6</v>
      </c>
      <c r="AF4" s="34">
        <f t="shared" ref="AF4:AF55" si="20">AD4*0.9</f>
        <v>32.4</v>
      </c>
      <c r="AG4" s="1">
        <f t="shared" ref="AG4:AG54" si="21">IF(AC4&lt;AF4, ROUND(AF4, 0), IF(AC4&gt;AE4, ROUND(AE4, 0), AC4))</f>
        <v>38</v>
      </c>
    </row>
    <row r="5" spans="1:33" x14ac:dyDescent="0.25">
      <c r="A5" s="8" t="s">
        <v>13</v>
      </c>
      <c r="B5" s="57">
        <v>26</v>
      </c>
      <c r="C5" s="51">
        <v>25.429025528223761</v>
      </c>
      <c r="D5" s="52">
        <v>29</v>
      </c>
      <c r="E5" s="51">
        <v>17.371618361925705</v>
      </c>
      <c r="F5" s="57">
        <f t="shared" si="4"/>
        <v>661.15466373381776</v>
      </c>
      <c r="G5" s="53">
        <f t="shared" si="0"/>
        <v>503.77693249584547</v>
      </c>
      <c r="H5" s="58">
        <f t="shared" si="1"/>
        <v>1164.9315962296632</v>
      </c>
      <c r="I5" s="59">
        <f t="shared" si="5"/>
        <v>0.12800625985700173</v>
      </c>
      <c r="J5" s="54">
        <f t="shared" si="2"/>
        <v>12.793219052214999</v>
      </c>
      <c r="K5" s="27"/>
      <c r="L5" s="28"/>
      <c r="M5" s="52"/>
      <c r="N5" s="52"/>
      <c r="O5" s="61" t="str">
        <f t="shared" si="6"/>
        <v/>
      </c>
      <c r="P5" s="62" t="str">
        <f t="shared" si="7"/>
        <v/>
      </c>
      <c r="Q5" s="62">
        <f t="shared" si="3"/>
        <v>12.793219052214999</v>
      </c>
      <c r="R5" s="54">
        <f t="shared" si="8"/>
        <v>25.586438104429998</v>
      </c>
      <c r="S5" s="32">
        <v>287</v>
      </c>
      <c r="T5" s="47">
        <f t="shared" si="9"/>
        <v>35.660540912097559</v>
      </c>
      <c r="U5">
        <f t="shared" si="10"/>
        <v>100.8105189011505</v>
      </c>
      <c r="V5" s="47">
        <f t="shared" si="11"/>
        <v>25.202629725287625</v>
      </c>
      <c r="W5" s="14">
        <f t="shared" si="12"/>
        <v>0</v>
      </c>
      <c r="X5" s="9">
        <f t="shared" si="13"/>
        <v>0</v>
      </c>
      <c r="Y5">
        <f t="shared" si="14"/>
        <v>25.586438104429998</v>
      </c>
      <c r="Z5" s="47">
        <f t="shared" si="15"/>
        <v>35.660540912097559</v>
      </c>
      <c r="AA5">
        <f t="shared" si="16"/>
        <v>0.53492457023326523</v>
      </c>
      <c r="AB5" s="9" t="str">
        <f t="shared" si="17"/>
        <v/>
      </c>
      <c r="AC5" s="78">
        <f t="shared" si="18"/>
        <v>26</v>
      </c>
      <c r="AD5" s="34">
        <v>29</v>
      </c>
      <c r="AE5">
        <f t="shared" si="19"/>
        <v>31.900000000000002</v>
      </c>
      <c r="AF5" s="34">
        <f t="shared" si="20"/>
        <v>26.1</v>
      </c>
      <c r="AG5" s="1">
        <f t="shared" si="21"/>
        <v>26</v>
      </c>
    </row>
    <row r="6" spans="1:33" x14ac:dyDescent="0.25">
      <c r="A6" s="8" t="s">
        <v>14</v>
      </c>
      <c r="B6" s="57">
        <v>6</v>
      </c>
      <c r="C6" s="51">
        <v>19.881990721775164</v>
      </c>
      <c r="D6" s="52">
        <v>6</v>
      </c>
      <c r="E6" s="51">
        <v>14.442215613185944</v>
      </c>
      <c r="F6" s="57">
        <f t="shared" si="4"/>
        <v>119.29194433065098</v>
      </c>
      <c r="G6" s="53">
        <f t="shared" si="0"/>
        <v>86.653293679115663</v>
      </c>
      <c r="H6" s="58">
        <f t="shared" si="1"/>
        <v>205.94523800976663</v>
      </c>
      <c r="I6" s="59">
        <f t="shared" si="5"/>
        <v>2.2629894955474281E-2</v>
      </c>
      <c r="J6" s="54">
        <f t="shared" si="2"/>
        <v>2.2616800429714452</v>
      </c>
      <c r="K6" s="27"/>
      <c r="L6" s="28"/>
      <c r="M6" s="52"/>
      <c r="N6" s="52"/>
      <c r="O6" s="61" t="str">
        <f t="shared" si="6"/>
        <v/>
      </c>
      <c r="P6" s="62" t="str">
        <f t="shared" si="7"/>
        <v/>
      </c>
      <c r="Q6" s="62">
        <f t="shared" si="3"/>
        <v>2.2616800429714452</v>
      </c>
      <c r="R6" s="54">
        <f t="shared" si="8"/>
        <v>4.5233600859428904</v>
      </c>
      <c r="S6" s="32">
        <v>86</v>
      </c>
      <c r="T6" s="47">
        <f t="shared" si="9"/>
        <v>21.038884120664605</v>
      </c>
      <c r="U6">
        <f t="shared" si="10"/>
        <v>30.208030054003284</v>
      </c>
      <c r="V6" s="47">
        <f t="shared" si="11"/>
        <v>7.5520075135008211</v>
      </c>
      <c r="W6" s="14">
        <f t="shared" si="12"/>
        <v>3.0286474275579307</v>
      </c>
      <c r="X6" s="9">
        <f t="shared" si="13"/>
        <v>1.7686806003010749</v>
      </c>
      <c r="Y6">
        <f t="shared" si="14"/>
        <v>6.2920406862439648</v>
      </c>
      <c r="Z6" s="47">
        <f t="shared" si="15"/>
        <v>29.265305517413793</v>
      </c>
      <c r="AA6">
        <f t="shared" si="16"/>
        <v>-5.8603108244505009</v>
      </c>
      <c r="AB6" s="9">
        <f t="shared" si="17"/>
        <v>5.8603108244505009</v>
      </c>
      <c r="AC6" s="78">
        <f t="shared" si="18"/>
        <v>6</v>
      </c>
      <c r="AD6" s="34">
        <v>6</v>
      </c>
      <c r="AE6">
        <f t="shared" si="19"/>
        <v>6.6000000000000005</v>
      </c>
      <c r="AF6" s="34">
        <f t="shared" si="20"/>
        <v>5.4</v>
      </c>
      <c r="AG6" s="1">
        <f t="shared" si="21"/>
        <v>6</v>
      </c>
    </row>
    <row r="7" spans="1:33" x14ac:dyDescent="0.25">
      <c r="A7" s="8" t="s">
        <v>15</v>
      </c>
      <c r="B7" s="57">
        <v>14</v>
      </c>
      <c r="C7" s="51">
        <v>24.017982970632577</v>
      </c>
      <c r="D7" s="52">
        <v>13</v>
      </c>
      <c r="E7" s="51">
        <v>28.775076718978564</v>
      </c>
      <c r="F7" s="57">
        <f t="shared" si="4"/>
        <v>336.25176158885608</v>
      </c>
      <c r="G7" s="53">
        <f t="shared" si="0"/>
        <v>374.07599734672135</v>
      </c>
      <c r="H7" s="58">
        <f t="shared" si="1"/>
        <v>710.32775893557744</v>
      </c>
      <c r="I7" s="59">
        <f t="shared" si="5"/>
        <v>3.2962281060862644E-2</v>
      </c>
      <c r="J7" s="54">
        <f t="shared" si="2"/>
        <v>7.8007830230919915</v>
      </c>
      <c r="K7" s="27">
        <v>28</v>
      </c>
      <c r="L7" s="28" t="s">
        <v>80</v>
      </c>
      <c r="M7" s="61">
        <v>520</v>
      </c>
      <c r="N7" s="52">
        <v>607</v>
      </c>
      <c r="O7" s="61">
        <f t="shared" si="6"/>
        <v>1127</v>
      </c>
      <c r="P7" s="62">
        <f t="shared" si="7"/>
        <v>2.46845978622744E-2</v>
      </c>
      <c r="Q7" s="62">
        <f t="shared" si="3"/>
        <v>5.8418041997862762</v>
      </c>
      <c r="R7" s="54">
        <f t="shared" si="8"/>
        <v>13.642587222878268</v>
      </c>
      <c r="S7" s="32">
        <v>152</v>
      </c>
      <c r="T7" s="47">
        <f t="shared" si="9"/>
        <v>35.901545323363862</v>
      </c>
      <c r="U7">
        <f t="shared" si="10"/>
        <v>53.39093683963371</v>
      </c>
      <c r="V7" s="47">
        <f t="shared" si="11"/>
        <v>13.347734209908428</v>
      </c>
      <c r="W7" s="14">
        <f t="shared" si="12"/>
        <v>0</v>
      </c>
      <c r="X7" s="9">
        <f t="shared" si="13"/>
        <v>0</v>
      </c>
      <c r="Y7">
        <f t="shared" si="14"/>
        <v>13.642587222878268</v>
      </c>
      <c r="Z7" s="47">
        <f t="shared" si="15"/>
        <v>35.901545323363862</v>
      </c>
      <c r="AA7">
        <f t="shared" si="16"/>
        <v>0.77592898149956824</v>
      </c>
      <c r="AB7" s="9" t="str">
        <f t="shared" si="17"/>
        <v/>
      </c>
      <c r="AC7" s="78">
        <f t="shared" si="18"/>
        <v>14</v>
      </c>
      <c r="AD7" s="34">
        <v>13</v>
      </c>
      <c r="AE7">
        <f t="shared" si="19"/>
        <v>14.3</v>
      </c>
      <c r="AF7" s="34">
        <f t="shared" si="20"/>
        <v>11.700000000000001</v>
      </c>
      <c r="AG7" s="1">
        <f t="shared" si="21"/>
        <v>14</v>
      </c>
    </row>
    <row r="8" spans="1:33" x14ac:dyDescent="0.25">
      <c r="A8" s="8" t="s">
        <v>16</v>
      </c>
      <c r="B8" s="57">
        <v>19</v>
      </c>
      <c r="C8" s="51">
        <v>20.762751433789369</v>
      </c>
      <c r="D8" s="52">
        <v>20</v>
      </c>
      <c r="E8" s="51">
        <v>28.014127039811434</v>
      </c>
      <c r="F8" s="57">
        <f t="shared" si="4"/>
        <v>394.49227724199801</v>
      </c>
      <c r="G8" s="53">
        <f t="shared" si="0"/>
        <v>560.28254079622866</v>
      </c>
      <c r="H8" s="58">
        <f t="shared" si="1"/>
        <v>954.77481803822661</v>
      </c>
      <c r="I8" s="59">
        <f t="shared" si="5"/>
        <v>0.10491358793793759</v>
      </c>
      <c r="J8" s="54">
        <f t="shared" si="2"/>
        <v>10.485288090935825</v>
      </c>
      <c r="K8" s="27"/>
      <c r="L8" s="28"/>
      <c r="M8" s="52"/>
      <c r="N8" s="52"/>
      <c r="O8" s="61" t="str">
        <f t="shared" si="6"/>
        <v/>
      </c>
      <c r="P8" s="62" t="str">
        <f t="shared" si="7"/>
        <v/>
      </c>
      <c r="Q8" s="62">
        <f t="shared" si="3"/>
        <v>10.485288090935825</v>
      </c>
      <c r="R8" s="54">
        <f t="shared" si="8"/>
        <v>20.97057618187165</v>
      </c>
      <c r="S8" s="32">
        <v>249</v>
      </c>
      <c r="T8" s="47">
        <f t="shared" si="9"/>
        <v>33.687672581319923</v>
      </c>
      <c r="U8">
        <f t="shared" si="10"/>
        <v>87.462784691242064</v>
      </c>
      <c r="V8" s="47">
        <f t="shared" si="11"/>
        <v>21.865696172810516</v>
      </c>
      <c r="W8" s="14">
        <f t="shared" si="12"/>
        <v>0.89511999093886629</v>
      </c>
      <c r="X8" s="9">
        <f t="shared" si="13"/>
        <v>0.52273544570085628</v>
      </c>
      <c r="Y8">
        <f t="shared" si="14"/>
        <v>21.493311627572506</v>
      </c>
      <c r="Z8" s="47">
        <f t="shared" si="15"/>
        <v>34.527408237064265</v>
      </c>
      <c r="AA8">
        <f t="shared" si="16"/>
        <v>-0.59820810480002962</v>
      </c>
      <c r="AB8" s="9">
        <f t="shared" si="17"/>
        <v>0.59820810480002962</v>
      </c>
      <c r="AC8" s="78">
        <f t="shared" si="18"/>
        <v>21</v>
      </c>
      <c r="AD8" s="34">
        <v>20</v>
      </c>
      <c r="AE8">
        <f t="shared" si="19"/>
        <v>22</v>
      </c>
      <c r="AF8" s="34">
        <f t="shared" si="20"/>
        <v>18</v>
      </c>
      <c r="AG8" s="1">
        <f t="shared" si="21"/>
        <v>21</v>
      </c>
    </row>
    <row r="9" spans="1:33" x14ac:dyDescent="0.25">
      <c r="A9" s="8" t="s">
        <v>17</v>
      </c>
      <c r="B9" s="57">
        <v>16</v>
      </c>
      <c r="C9" s="51">
        <v>21.315453782558965</v>
      </c>
      <c r="D9" s="52">
        <v>15</v>
      </c>
      <c r="E9" s="51">
        <v>18.773526373365758</v>
      </c>
      <c r="F9" s="57">
        <f t="shared" si="4"/>
        <v>341.04726052094344</v>
      </c>
      <c r="G9" s="53">
        <f t="shared" si="0"/>
        <v>281.60289560048636</v>
      </c>
      <c r="H9" s="58">
        <f t="shared" si="1"/>
        <v>622.65015612142975</v>
      </c>
      <c r="I9" s="59">
        <f t="shared" si="5"/>
        <v>2.8893660976194478E-2</v>
      </c>
      <c r="J9" s="54">
        <f t="shared" si="2"/>
        <v>6.837912085085982</v>
      </c>
      <c r="K9" s="27">
        <v>24</v>
      </c>
      <c r="L9" s="28" t="s">
        <v>81</v>
      </c>
      <c r="M9" s="61">
        <v>609</v>
      </c>
      <c r="N9" s="52">
        <v>718</v>
      </c>
      <c r="O9" s="61">
        <f t="shared" si="6"/>
        <v>1327</v>
      </c>
      <c r="P9" s="62">
        <f t="shared" si="7"/>
        <v>2.9065183108463292E-2</v>
      </c>
      <c r="Q9" s="62">
        <f t="shared" si="3"/>
        <v>6.8785041465096608</v>
      </c>
      <c r="R9" s="54">
        <f t="shared" si="8"/>
        <v>13.716416231595643</v>
      </c>
      <c r="S9" s="32">
        <v>178</v>
      </c>
      <c r="T9" s="47">
        <f t="shared" si="9"/>
        <v>30.82340726201268</v>
      </c>
      <c r="U9">
        <f t="shared" si="10"/>
        <v>62.523597088518429</v>
      </c>
      <c r="V9" s="47">
        <f t="shared" si="11"/>
        <v>15.630899272129607</v>
      </c>
      <c r="W9" s="14">
        <f t="shared" si="12"/>
        <v>1.9144830405339643</v>
      </c>
      <c r="X9" s="9">
        <f t="shared" si="13"/>
        <v>1.1180268071441177</v>
      </c>
      <c r="Y9">
        <f t="shared" si="14"/>
        <v>14.83444303873976</v>
      </c>
      <c r="Z9" s="47">
        <f t="shared" si="15"/>
        <v>33.335827053347778</v>
      </c>
      <c r="AA9">
        <f t="shared" si="16"/>
        <v>-1.7897892885165163</v>
      </c>
      <c r="AB9" s="9">
        <f t="shared" si="17"/>
        <v>1.7897892885165163</v>
      </c>
      <c r="AC9" s="78">
        <f t="shared" si="18"/>
        <v>15</v>
      </c>
      <c r="AD9" s="34">
        <v>15</v>
      </c>
      <c r="AE9">
        <f t="shared" si="19"/>
        <v>16.5</v>
      </c>
      <c r="AF9" s="34">
        <f t="shared" si="20"/>
        <v>13.5</v>
      </c>
      <c r="AG9" s="1">
        <f t="shared" si="21"/>
        <v>15</v>
      </c>
    </row>
    <row r="10" spans="1:33" x14ac:dyDescent="0.25">
      <c r="A10" s="8" t="s">
        <v>18</v>
      </c>
      <c r="B10" s="57">
        <v>11</v>
      </c>
      <c r="C10" s="51">
        <v>24.156851756628555</v>
      </c>
      <c r="D10" s="52">
        <v>17</v>
      </c>
      <c r="E10" s="51">
        <v>25.135399036089797</v>
      </c>
      <c r="F10" s="57">
        <f t="shared" si="4"/>
        <v>265.7253693229141</v>
      </c>
      <c r="G10" s="53">
        <f t="shared" si="0"/>
        <v>427.30178361352654</v>
      </c>
      <c r="H10" s="58">
        <f t="shared" si="1"/>
        <v>693.02715293644064</v>
      </c>
      <c r="I10" s="59">
        <f t="shared" si="5"/>
        <v>3.2159458095980434E-2</v>
      </c>
      <c r="J10" s="54">
        <f t="shared" si="2"/>
        <v>7.6107886551828665</v>
      </c>
      <c r="K10" s="27">
        <v>10</v>
      </c>
      <c r="L10" s="28" t="s">
        <v>82</v>
      </c>
      <c r="M10" s="61">
        <v>1054</v>
      </c>
      <c r="N10" s="52">
        <v>1217</v>
      </c>
      <c r="O10" s="61">
        <f t="shared" si="6"/>
        <v>2271</v>
      </c>
      <c r="P10" s="62">
        <f t="shared" si="7"/>
        <v>4.9741545470474859E-2</v>
      </c>
      <c r="Q10" s="62">
        <f t="shared" si="3"/>
        <v>11.771727895044039</v>
      </c>
      <c r="R10" s="54">
        <f t="shared" si="8"/>
        <v>19.382516550226907</v>
      </c>
      <c r="S10" s="32">
        <v>88</v>
      </c>
      <c r="T10" s="47">
        <f t="shared" si="9"/>
        <v>88.102347955576846</v>
      </c>
      <c r="U10">
        <f t="shared" si="10"/>
        <v>30.910542380840571</v>
      </c>
      <c r="V10" s="47">
        <f t="shared" si="11"/>
        <v>7.7276355952101428</v>
      </c>
      <c r="W10" s="14">
        <f t="shared" si="12"/>
        <v>0</v>
      </c>
      <c r="X10" s="9">
        <f t="shared" si="13"/>
        <v>0</v>
      </c>
      <c r="Y10">
        <f t="shared" si="14"/>
        <v>19.382516550226907</v>
      </c>
      <c r="Z10" s="47">
        <f t="shared" si="15"/>
        <v>88.102347955576846</v>
      </c>
      <c r="AA10">
        <f t="shared" si="16"/>
        <v>52.976731613712552</v>
      </c>
      <c r="AB10" s="9" t="str">
        <f t="shared" si="17"/>
        <v/>
      </c>
      <c r="AC10" s="78">
        <f t="shared" si="18"/>
        <v>19</v>
      </c>
      <c r="AD10" s="34">
        <v>17</v>
      </c>
      <c r="AE10">
        <f t="shared" si="19"/>
        <v>18.700000000000003</v>
      </c>
      <c r="AF10" s="34">
        <f t="shared" si="20"/>
        <v>15.3</v>
      </c>
      <c r="AG10" s="1">
        <f t="shared" si="21"/>
        <v>19</v>
      </c>
    </row>
    <row r="11" spans="1:33" x14ac:dyDescent="0.25">
      <c r="A11" s="8" t="s">
        <v>19</v>
      </c>
      <c r="B11" s="57">
        <v>3</v>
      </c>
      <c r="C11" s="51">
        <v>19.357927816807912</v>
      </c>
      <c r="D11" s="52">
        <v>3</v>
      </c>
      <c r="E11" s="51">
        <v>14.923683811772172</v>
      </c>
      <c r="F11" s="57">
        <f t="shared" si="4"/>
        <v>58.073783450423733</v>
      </c>
      <c r="G11" s="53">
        <f t="shared" si="0"/>
        <v>44.771051435316515</v>
      </c>
      <c r="H11" s="58">
        <f t="shared" si="1"/>
        <v>102.84483488574026</v>
      </c>
      <c r="I11" s="59">
        <f t="shared" si="5"/>
        <v>1.1300906166458808E-2</v>
      </c>
      <c r="J11" s="54">
        <f t="shared" si="2"/>
        <v>1.1294367028420507</v>
      </c>
      <c r="K11" s="27"/>
      <c r="L11" s="28"/>
      <c r="M11" s="52"/>
      <c r="N11" s="52"/>
      <c r="O11" s="61" t="str">
        <f t="shared" si="6"/>
        <v/>
      </c>
      <c r="P11" s="62" t="str">
        <f t="shared" si="7"/>
        <v/>
      </c>
      <c r="Q11" s="62">
        <f t="shared" si="3"/>
        <v>1.1294367028420507</v>
      </c>
      <c r="R11" s="54">
        <f t="shared" si="8"/>
        <v>2.2588734056841013</v>
      </c>
      <c r="S11" s="32">
        <v>50</v>
      </c>
      <c r="T11" s="47">
        <f t="shared" si="9"/>
        <v>18.070987245472811</v>
      </c>
      <c r="U11">
        <f t="shared" si="10"/>
        <v>17.562808170932144</v>
      </c>
      <c r="V11" s="47">
        <f t="shared" si="11"/>
        <v>4.3907020427330359</v>
      </c>
      <c r="W11" s="14">
        <f t="shared" si="12"/>
        <v>2.1318286370489345</v>
      </c>
      <c r="X11" s="9">
        <f t="shared" si="13"/>
        <v>1.2449530834148608</v>
      </c>
      <c r="Y11">
        <f t="shared" si="14"/>
        <v>3.5038264890989623</v>
      </c>
      <c r="Z11" s="47">
        <f t="shared" si="15"/>
        <v>28.030611912791699</v>
      </c>
      <c r="AA11">
        <f t="shared" si="16"/>
        <v>-7.0950044290725955</v>
      </c>
      <c r="AB11" s="9">
        <f t="shared" si="17"/>
        <v>7.0950044290725955</v>
      </c>
      <c r="AC11" s="78">
        <f t="shared" si="18"/>
        <v>4</v>
      </c>
      <c r="AD11" s="34">
        <v>3</v>
      </c>
      <c r="AE11">
        <f t="shared" si="19"/>
        <v>3.3000000000000003</v>
      </c>
      <c r="AF11" s="34">
        <f t="shared" si="20"/>
        <v>2.7</v>
      </c>
      <c r="AG11" s="1">
        <v>4</v>
      </c>
    </row>
    <row r="12" spans="1:33" x14ac:dyDescent="0.25">
      <c r="A12" s="8" t="s">
        <v>20</v>
      </c>
      <c r="B12" s="57">
        <v>3</v>
      </c>
      <c r="C12" s="51">
        <v>17.551332624534101</v>
      </c>
      <c r="D12" s="52">
        <v>5</v>
      </c>
      <c r="E12" s="51">
        <v>14.002730851488984</v>
      </c>
      <c r="F12" s="57">
        <f t="shared" si="4"/>
        <v>52.653997873602307</v>
      </c>
      <c r="G12" s="53">
        <f t="shared" si="0"/>
        <v>70.013654257444927</v>
      </c>
      <c r="H12" s="58">
        <f t="shared" si="1"/>
        <v>122.66765213104723</v>
      </c>
      <c r="I12" s="59">
        <f t="shared" si="5"/>
        <v>5.6923097482192275E-3</v>
      </c>
      <c r="J12" s="54">
        <f t="shared" si="2"/>
        <v>1.3471298653178678</v>
      </c>
      <c r="K12" s="27">
        <v>29</v>
      </c>
      <c r="L12" s="28" t="s">
        <v>83</v>
      </c>
      <c r="M12" s="61">
        <v>486</v>
      </c>
      <c r="N12" s="52">
        <v>576</v>
      </c>
      <c r="O12" s="61">
        <f t="shared" si="6"/>
        <v>1062</v>
      </c>
      <c r="P12" s="62">
        <f t="shared" si="7"/>
        <v>2.3260907657263009E-2</v>
      </c>
      <c r="Q12" s="62">
        <f t="shared" si="3"/>
        <v>5.5048767171011752</v>
      </c>
      <c r="R12" s="54">
        <f t="shared" si="8"/>
        <v>6.852006582419043</v>
      </c>
      <c r="S12" s="32">
        <v>35</v>
      </c>
      <c r="T12" s="47">
        <f t="shared" si="9"/>
        <v>78.308646656217633</v>
      </c>
      <c r="U12">
        <f t="shared" si="10"/>
        <v>12.293965719652499</v>
      </c>
      <c r="V12" s="47">
        <f t="shared" si="11"/>
        <v>3.0734914299131249</v>
      </c>
      <c r="W12" s="14">
        <f t="shared" si="12"/>
        <v>0</v>
      </c>
      <c r="X12" s="9">
        <f t="shared" si="13"/>
        <v>0</v>
      </c>
      <c r="Y12">
        <f t="shared" si="14"/>
        <v>6.852006582419043</v>
      </c>
      <c r="Z12" s="47">
        <f t="shared" si="15"/>
        <v>78.308646656217633</v>
      </c>
      <c r="AA12">
        <f t="shared" si="16"/>
        <v>43.183030314353338</v>
      </c>
      <c r="AB12" s="9" t="str">
        <f t="shared" si="17"/>
        <v/>
      </c>
      <c r="AC12" s="78">
        <f t="shared" si="18"/>
        <v>7</v>
      </c>
      <c r="AD12" s="34">
        <v>5</v>
      </c>
      <c r="AE12">
        <f t="shared" si="19"/>
        <v>5.5</v>
      </c>
      <c r="AF12" s="34">
        <f t="shared" si="20"/>
        <v>4.5</v>
      </c>
      <c r="AG12" s="1">
        <f t="shared" si="21"/>
        <v>6</v>
      </c>
    </row>
    <row r="13" spans="1:33" x14ac:dyDescent="0.25">
      <c r="A13" s="8" t="s">
        <v>21</v>
      </c>
      <c r="B13" s="57">
        <v>54</v>
      </c>
      <c r="C13" s="51">
        <v>23.559932087295682</v>
      </c>
      <c r="D13" s="52">
        <v>49</v>
      </c>
      <c r="E13" s="51">
        <v>26.890448494711276</v>
      </c>
      <c r="F13" s="57">
        <f t="shared" si="4"/>
        <v>1272.2363327139667</v>
      </c>
      <c r="G13" s="53">
        <f t="shared" si="0"/>
        <v>1317.6319762408525</v>
      </c>
      <c r="H13" s="58">
        <f t="shared" si="1"/>
        <v>2589.8683089548194</v>
      </c>
      <c r="I13" s="59">
        <f t="shared" si="5"/>
        <v>0.12018109391967628</v>
      </c>
      <c r="J13" s="54">
        <f t="shared" si="2"/>
        <v>28.441800960746367</v>
      </c>
      <c r="K13" s="27">
        <v>20</v>
      </c>
      <c r="L13" s="28" t="s">
        <v>84</v>
      </c>
      <c r="M13" s="62">
        <v>1453</v>
      </c>
      <c r="N13" s="52">
        <v>1765</v>
      </c>
      <c r="O13" s="61">
        <f t="shared" si="6"/>
        <v>3218</v>
      </c>
      <c r="P13" s="62">
        <f t="shared" si="7"/>
        <v>7.0483616611179259E-2</v>
      </c>
      <c r="Q13" s="62">
        <f t="shared" si="3"/>
        <v>16.680502142779268</v>
      </c>
      <c r="R13" s="54">
        <f t="shared" si="8"/>
        <v>45.122303103525638</v>
      </c>
      <c r="S13" s="32">
        <v>478</v>
      </c>
      <c r="T13" s="47">
        <f t="shared" si="9"/>
        <v>37.759249459017269</v>
      </c>
      <c r="U13">
        <f t="shared" si="10"/>
        <v>167.90044611411128</v>
      </c>
      <c r="V13" s="47">
        <f t="shared" si="11"/>
        <v>41.975111528527819</v>
      </c>
      <c r="W13" s="14">
        <f t="shared" si="12"/>
        <v>0</v>
      </c>
      <c r="X13" s="9">
        <f t="shared" si="13"/>
        <v>0</v>
      </c>
      <c r="Y13">
        <f t="shared" si="14"/>
        <v>45.122303103525638</v>
      </c>
      <c r="Z13" s="47">
        <f t="shared" si="15"/>
        <v>37.759249459017269</v>
      </c>
      <c r="AA13">
        <f t="shared" si="16"/>
        <v>2.633633117152975</v>
      </c>
      <c r="AB13" s="9" t="str">
        <f t="shared" si="17"/>
        <v/>
      </c>
      <c r="AC13" s="78">
        <f t="shared" si="18"/>
        <v>45</v>
      </c>
      <c r="AD13" s="34">
        <v>49</v>
      </c>
      <c r="AE13">
        <f t="shared" si="19"/>
        <v>53.900000000000006</v>
      </c>
      <c r="AF13" s="34">
        <f t="shared" si="20"/>
        <v>44.1</v>
      </c>
      <c r="AG13" s="1">
        <f t="shared" si="21"/>
        <v>45</v>
      </c>
    </row>
    <row r="14" spans="1:33" x14ac:dyDescent="0.25">
      <c r="A14" s="8" t="s">
        <v>22</v>
      </c>
      <c r="B14" s="57">
        <v>45</v>
      </c>
      <c r="C14" s="51">
        <v>18.724629893141927</v>
      </c>
      <c r="D14" s="52">
        <v>41</v>
      </c>
      <c r="E14" s="51">
        <v>24.744049754334068</v>
      </c>
      <c r="F14" s="57">
        <f t="shared" si="4"/>
        <v>842.60834519138666</v>
      </c>
      <c r="G14" s="53">
        <f t="shared" si="0"/>
        <v>1014.5060399276967</v>
      </c>
      <c r="H14" s="58">
        <f t="shared" si="1"/>
        <v>1857.1143851190834</v>
      </c>
      <c r="I14" s="59">
        <f t="shared" si="5"/>
        <v>0.20406542953691426</v>
      </c>
      <c r="J14" s="54">
        <f t="shared" si="2"/>
        <v>20.394734944732395</v>
      </c>
      <c r="K14" s="27"/>
      <c r="L14" s="28"/>
      <c r="M14" s="52"/>
      <c r="N14" s="52"/>
      <c r="O14" s="61" t="s">
        <v>85</v>
      </c>
      <c r="P14" s="62" t="str">
        <f t="shared" si="7"/>
        <v/>
      </c>
      <c r="Q14" s="62">
        <f t="shared" si="3"/>
        <v>20.394734944732395</v>
      </c>
      <c r="R14" s="54">
        <f t="shared" si="8"/>
        <v>40.78946988946479</v>
      </c>
      <c r="S14" s="32">
        <v>435</v>
      </c>
      <c r="T14" s="47">
        <f t="shared" si="9"/>
        <v>37.507558519048082</v>
      </c>
      <c r="U14">
        <f t="shared" si="10"/>
        <v>152.79643108710965</v>
      </c>
      <c r="V14" s="47">
        <f t="shared" si="11"/>
        <v>38.199107771777413</v>
      </c>
      <c r="W14" s="14">
        <f t="shared" si="12"/>
        <v>0</v>
      </c>
      <c r="X14" s="9">
        <f t="shared" si="13"/>
        <v>0</v>
      </c>
      <c r="Y14">
        <f t="shared" si="14"/>
        <v>40.78946988946479</v>
      </c>
      <c r="Z14" s="47">
        <f t="shared" si="15"/>
        <v>37.507558519048082</v>
      </c>
      <c r="AA14">
        <f t="shared" si="16"/>
        <v>2.3819421771837881</v>
      </c>
      <c r="AB14" s="9" t="str">
        <f t="shared" si="17"/>
        <v/>
      </c>
      <c r="AC14" s="78">
        <f t="shared" si="18"/>
        <v>41</v>
      </c>
      <c r="AD14" s="34">
        <v>41</v>
      </c>
      <c r="AE14">
        <f t="shared" si="19"/>
        <v>45.1</v>
      </c>
      <c r="AF14" s="34">
        <f t="shared" si="20"/>
        <v>36.9</v>
      </c>
      <c r="AG14" s="1">
        <f t="shared" si="21"/>
        <v>41</v>
      </c>
    </row>
    <row r="15" spans="1:33" x14ac:dyDescent="0.25">
      <c r="A15" s="8" t="s">
        <v>23</v>
      </c>
      <c r="B15" s="57">
        <v>15</v>
      </c>
      <c r="C15" s="51">
        <v>17.959442082592698</v>
      </c>
      <c r="D15" s="52">
        <v>14</v>
      </c>
      <c r="E15" s="51">
        <v>20.849138410654128</v>
      </c>
      <c r="F15" s="57">
        <f t="shared" si="4"/>
        <v>269.39163123889045</v>
      </c>
      <c r="G15" s="53">
        <f t="shared" si="0"/>
        <v>291.8879377491578</v>
      </c>
      <c r="H15" s="58">
        <f t="shared" si="1"/>
        <v>561.27956898804825</v>
      </c>
      <c r="I15" s="59">
        <f t="shared" si="5"/>
        <v>6.1675122035358999E-2</v>
      </c>
      <c r="J15" s="54">
        <f t="shared" si="2"/>
        <v>6.1639434442649375</v>
      </c>
      <c r="K15" s="27"/>
      <c r="L15" s="28"/>
      <c r="M15" s="52"/>
      <c r="N15" s="52"/>
      <c r="O15" s="61" t="s">
        <v>85</v>
      </c>
      <c r="P15" s="62" t="str">
        <f t="shared" si="7"/>
        <v/>
      </c>
      <c r="Q15" s="62">
        <f t="shared" si="3"/>
        <v>6.1639434442649375</v>
      </c>
      <c r="R15" s="54">
        <f t="shared" si="8"/>
        <v>12.327886888529875</v>
      </c>
      <c r="S15" s="32">
        <v>158</v>
      </c>
      <c r="T15" s="47">
        <f t="shared" si="9"/>
        <v>31.209840224126268</v>
      </c>
      <c r="U15">
        <f t="shared" si="10"/>
        <v>55.49847382014557</v>
      </c>
      <c r="V15" s="47">
        <f t="shared" si="11"/>
        <v>13.874618455036392</v>
      </c>
      <c r="W15" s="14">
        <f t="shared" si="12"/>
        <v>1.5467315665065176</v>
      </c>
      <c r="X15" s="9">
        <f t="shared" si="13"/>
        <v>0.90326595649966668</v>
      </c>
      <c r="Y15">
        <f t="shared" si="14"/>
        <v>13.231152845029541</v>
      </c>
      <c r="Z15" s="47">
        <f t="shared" si="15"/>
        <v>33.496589481087447</v>
      </c>
      <c r="AA15">
        <f t="shared" si="16"/>
        <v>-1.6290268607768468</v>
      </c>
      <c r="AB15" s="9">
        <f t="shared" si="17"/>
        <v>1.6290268607768468</v>
      </c>
      <c r="AC15" s="78">
        <f t="shared" si="18"/>
        <v>13</v>
      </c>
      <c r="AD15" s="34">
        <v>14</v>
      </c>
      <c r="AE15">
        <f t="shared" si="19"/>
        <v>15.400000000000002</v>
      </c>
      <c r="AF15" s="34">
        <f t="shared" si="20"/>
        <v>12.6</v>
      </c>
      <c r="AG15" s="1">
        <f t="shared" si="21"/>
        <v>13</v>
      </c>
    </row>
    <row r="16" spans="1:33" x14ac:dyDescent="0.25">
      <c r="A16" s="8" t="s">
        <v>24</v>
      </c>
      <c r="B16" s="57">
        <v>7</v>
      </c>
      <c r="C16" s="51">
        <v>16.952855755376174</v>
      </c>
      <c r="D16" s="52">
        <v>8</v>
      </c>
      <c r="E16" s="51">
        <v>25.072237881378651</v>
      </c>
      <c r="F16" s="57">
        <f t="shared" si="4"/>
        <v>118.66999028763321</v>
      </c>
      <c r="G16" s="53">
        <f t="shared" si="0"/>
        <v>200.57790305102921</v>
      </c>
      <c r="H16" s="58">
        <f t="shared" si="1"/>
        <v>319.24789333866244</v>
      </c>
      <c r="I16" s="59">
        <f t="shared" si="5"/>
        <v>3.507993853525166E-2</v>
      </c>
      <c r="J16" s="54">
        <f t="shared" si="2"/>
        <v>3.5059639936442126</v>
      </c>
      <c r="K16" s="27"/>
      <c r="L16" s="28"/>
      <c r="M16" s="52"/>
      <c r="N16" s="52"/>
      <c r="O16" s="61" t="str">
        <f t="shared" si="6"/>
        <v/>
      </c>
      <c r="P16" s="62" t="str">
        <f t="shared" si="7"/>
        <v/>
      </c>
      <c r="Q16" s="62">
        <f t="shared" si="3"/>
        <v>3.5059639936442126</v>
      </c>
      <c r="R16" s="54">
        <f t="shared" si="8"/>
        <v>7.0119279872884253</v>
      </c>
      <c r="S16" s="32">
        <v>89</v>
      </c>
      <c r="T16" s="47">
        <f t="shared" si="9"/>
        <v>31.514283088936747</v>
      </c>
      <c r="U16">
        <f t="shared" si="10"/>
        <v>31.261798544259214</v>
      </c>
      <c r="V16" s="47">
        <f t="shared" si="11"/>
        <v>7.8154496360648036</v>
      </c>
      <c r="W16" s="14">
        <f t="shared" si="12"/>
        <v>0.80352164877637833</v>
      </c>
      <c r="X16" s="9">
        <f t="shared" si="13"/>
        <v>0.46924351087595539</v>
      </c>
      <c r="Y16">
        <f t="shared" si="14"/>
        <v>7.4811714981643807</v>
      </c>
      <c r="Z16" s="47">
        <f t="shared" si="15"/>
        <v>33.623242688379243</v>
      </c>
      <c r="AA16">
        <f t="shared" si="16"/>
        <v>-1.5023736534850514</v>
      </c>
      <c r="AB16" s="9">
        <f t="shared" si="17"/>
        <v>1.5023736534850514</v>
      </c>
      <c r="AC16" s="78">
        <f t="shared" si="18"/>
        <v>7</v>
      </c>
      <c r="AD16" s="34">
        <v>8</v>
      </c>
      <c r="AE16">
        <f t="shared" si="19"/>
        <v>8.8000000000000007</v>
      </c>
      <c r="AF16" s="34">
        <f t="shared" si="20"/>
        <v>7.2</v>
      </c>
      <c r="AG16" s="1">
        <f t="shared" si="21"/>
        <v>7</v>
      </c>
    </row>
    <row r="17" spans="1:33" x14ac:dyDescent="0.25">
      <c r="A17" s="8" t="s">
        <v>25</v>
      </c>
      <c r="B17" s="57">
        <v>11</v>
      </c>
      <c r="C17" s="51">
        <v>15.271663900037598</v>
      </c>
      <c r="D17" s="52">
        <v>13</v>
      </c>
      <c r="E17" s="51">
        <v>23.459321611448338</v>
      </c>
      <c r="F17" s="57">
        <f t="shared" si="4"/>
        <v>167.98830290041357</v>
      </c>
      <c r="G17" s="53">
        <f t="shared" si="0"/>
        <v>304.97118094882842</v>
      </c>
      <c r="H17" s="58">
        <f t="shared" si="1"/>
        <v>472.95948384924202</v>
      </c>
      <c r="I17" s="59">
        <f t="shared" si="5"/>
        <v>2.194736618543602E-2</v>
      </c>
      <c r="J17" s="54">
        <f t="shared" si="2"/>
        <v>5.1940167983159586</v>
      </c>
      <c r="K17" s="27">
        <v>21</v>
      </c>
      <c r="L17" s="28" t="s">
        <v>86</v>
      </c>
      <c r="M17" s="61">
        <v>415</v>
      </c>
      <c r="N17" s="52">
        <v>504</v>
      </c>
      <c r="O17" s="61">
        <f t="shared" si="6"/>
        <v>919</v>
      </c>
      <c r="P17" s="62">
        <f t="shared" si="7"/>
        <v>2.0128789206237955E-2</v>
      </c>
      <c r="Q17" s="62">
        <f t="shared" si="3"/>
        <v>4.7636362551939557</v>
      </c>
      <c r="R17" s="54">
        <f t="shared" si="8"/>
        <v>9.9576530535099153</v>
      </c>
      <c r="S17" s="32">
        <v>183</v>
      </c>
      <c r="T17" s="47">
        <f t="shared" si="9"/>
        <v>21.765361865595441</v>
      </c>
      <c r="U17">
        <f t="shared" si="10"/>
        <v>64.279877905611642</v>
      </c>
      <c r="V17" s="47">
        <f t="shared" si="11"/>
        <v>16.06996947640291</v>
      </c>
      <c r="W17" s="14">
        <f t="shared" si="12"/>
        <v>6.1123164228929951</v>
      </c>
      <c r="X17" s="9">
        <f t="shared" si="13"/>
        <v>3.5694928969627373</v>
      </c>
      <c r="Y17">
        <f t="shared" si="14"/>
        <v>13.527145950472653</v>
      </c>
      <c r="Z17" s="47">
        <f t="shared" si="15"/>
        <v>29.567532132180663</v>
      </c>
      <c r="AA17">
        <f t="shared" si="16"/>
        <v>-5.5580842096836314</v>
      </c>
      <c r="AB17" s="9">
        <f t="shared" si="17"/>
        <v>5.5580842096836314</v>
      </c>
      <c r="AC17" s="78">
        <f t="shared" si="18"/>
        <v>14</v>
      </c>
      <c r="AD17" s="34">
        <v>13</v>
      </c>
      <c r="AE17">
        <f t="shared" si="19"/>
        <v>14.3</v>
      </c>
      <c r="AF17" s="34">
        <f t="shared" si="20"/>
        <v>11.700000000000001</v>
      </c>
      <c r="AG17" s="1">
        <f t="shared" si="21"/>
        <v>14</v>
      </c>
    </row>
    <row r="18" spans="1:33" x14ac:dyDescent="0.25">
      <c r="A18" s="8" t="s">
        <v>26</v>
      </c>
      <c r="B18" s="57">
        <v>22</v>
      </c>
      <c r="C18" s="51">
        <v>18.680746151805639</v>
      </c>
      <c r="D18" s="52">
        <v>22</v>
      </c>
      <c r="E18" s="51">
        <v>22.87515760086843</v>
      </c>
      <c r="F18" s="57">
        <f t="shared" si="4"/>
        <v>410.97641533972404</v>
      </c>
      <c r="G18" s="53">
        <f t="shared" si="0"/>
        <v>503.25346721910546</v>
      </c>
      <c r="H18" s="58">
        <f t="shared" si="1"/>
        <v>914.22988255882956</v>
      </c>
      <c r="I18" s="59">
        <f t="shared" si="5"/>
        <v>0.10045838596414043</v>
      </c>
      <c r="J18" s="54">
        <f t="shared" si="2"/>
        <v>10.040025688641443</v>
      </c>
      <c r="K18" s="27"/>
      <c r="L18" s="28"/>
      <c r="M18" s="52"/>
      <c r="N18" s="52"/>
      <c r="O18" s="61" t="str">
        <f t="shared" si="6"/>
        <v/>
      </c>
      <c r="P18" s="62" t="str">
        <f t="shared" si="7"/>
        <v/>
      </c>
      <c r="Q18" s="62">
        <f t="shared" si="3"/>
        <v>10.040025688641443</v>
      </c>
      <c r="R18" s="54">
        <f t="shared" si="8"/>
        <v>20.080051377282885</v>
      </c>
      <c r="S18" s="32">
        <v>258</v>
      </c>
      <c r="T18" s="47">
        <f t="shared" si="9"/>
        <v>31.131862600438581</v>
      </c>
      <c r="U18">
        <f t="shared" si="10"/>
        <v>90.62409016200985</v>
      </c>
      <c r="V18" s="47">
        <f t="shared" si="11"/>
        <v>22.656022540502462</v>
      </c>
      <c r="W18" s="14">
        <f t="shared" si="12"/>
        <v>2.5759711632195774</v>
      </c>
      <c r="X18" s="9">
        <f t="shared" si="13"/>
        <v>1.5043250600467304</v>
      </c>
      <c r="Y18">
        <f t="shared" si="14"/>
        <v>21.584376437329617</v>
      </c>
      <c r="Z18" s="47">
        <f t="shared" si="15"/>
        <v>33.464149515239718</v>
      </c>
      <c r="AA18">
        <f t="shared" si="16"/>
        <v>-1.6614668266245758</v>
      </c>
      <c r="AB18" s="9">
        <f t="shared" si="17"/>
        <v>1.6614668266245758</v>
      </c>
      <c r="AC18" s="78">
        <f t="shared" si="18"/>
        <v>22</v>
      </c>
      <c r="AD18" s="34">
        <v>22</v>
      </c>
      <c r="AE18">
        <f t="shared" si="19"/>
        <v>24.200000000000003</v>
      </c>
      <c r="AF18" s="34">
        <f t="shared" si="20"/>
        <v>19.8</v>
      </c>
      <c r="AG18" s="1">
        <f t="shared" si="21"/>
        <v>22</v>
      </c>
    </row>
    <row r="19" spans="1:33" x14ac:dyDescent="0.25">
      <c r="A19" s="8" t="s">
        <v>27</v>
      </c>
      <c r="B19" s="57">
        <v>12</v>
      </c>
      <c r="C19" s="51">
        <v>22.072524780851317</v>
      </c>
      <c r="D19" s="52">
        <v>15</v>
      </c>
      <c r="E19" s="51">
        <v>15.235556013769113</v>
      </c>
      <c r="F19" s="57">
        <f t="shared" si="4"/>
        <v>264.87029737021578</v>
      </c>
      <c r="G19" s="53">
        <f t="shared" si="0"/>
        <v>228.53334020653671</v>
      </c>
      <c r="H19" s="58">
        <f t="shared" si="1"/>
        <v>493.40363757675249</v>
      </c>
      <c r="I19" s="59">
        <f t="shared" si="5"/>
        <v>5.4216706328899418E-2</v>
      </c>
      <c r="J19" s="54">
        <f t="shared" si="2"/>
        <v>5.4185334461772605</v>
      </c>
      <c r="K19" s="27"/>
      <c r="L19" s="28"/>
      <c r="M19" s="52"/>
      <c r="N19" s="52"/>
      <c r="O19" s="61" t="str">
        <f t="shared" si="6"/>
        <v/>
      </c>
      <c r="P19" s="62" t="str">
        <f t="shared" si="7"/>
        <v/>
      </c>
      <c r="Q19" s="62">
        <f t="shared" si="3"/>
        <v>5.4185334461772605</v>
      </c>
      <c r="R19" s="54">
        <f t="shared" si="8"/>
        <v>10.837066892354521</v>
      </c>
      <c r="S19" s="32">
        <v>153</v>
      </c>
      <c r="T19" s="47">
        <f t="shared" si="9"/>
        <v>28.332201025763453</v>
      </c>
      <c r="U19">
        <f t="shared" si="10"/>
        <v>53.742193003052357</v>
      </c>
      <c r="V19" s="47">
        <f t="shared" si="11"/>
        <v>13.435548250763089</v>
      </c>
      <c r="W19" s="14">
        <f t="shared" si="12"/>
        <v>2.5984813584085682</v>
      </c>
      <c r="X19" s="9">
        <f t="shared" si="13"/>
        <v>1.5174706461514362</v>
      </c>
      <c r="Y19">
        <f t="shared" si="14"/>
        <v>12.354537538505957</v>
      </c>
      <c r="Z19" s="47">
        <f t="shared" si="15"/>
        <v>32.299444545113616</v>
      </c>
      <c r="AA19">
        <f t="shared" si="16"/>
        <v>-2.8261717967506783</v>
      </c>
      <c r="AB19" s="9">
        <f t="shared" si="17"/>
        <v>2.8261717967506783</v>
      </c>
      <c r="AC19" s="78">
        <f t="shared" si="18"/>
        <v>12</v>
      </c>
      <c r="AD19" s="34">
        <v>15</v>
      </c>
      <c r="AE19">
        <f t="shared" si="19"/>
        <v>16.5</v>
      </c>
      <c r="AF19" s="34">
        <f t="shared" si="20"/>
        <v>13.5</v>
      </c>
      <c r="AG19" s="1">
        <f t="shared" si="21"/>
        <v>14</v>
      </c>
    </row>
    <row r="20" spans="1:33" x14ac:dyDescent="0.25">
      <c r="A20" s="8" t="s">
        <v>28</v>
      </c>
      <c r="B20" s="57">
        <v>30</v>
      </c>
      <c r="C20" s="51">
        <v>14.822074840119614</v>
      </c>
      <c r="D20" s="52">
        <v>30</v>
      </c>
      <c r="E20" s="51">
        <v>21.60794186612647</v>
      </c>
      <c r="F20" s="57">
        <f t="shared" si="4"/>
        <v>444.66224520358838</v>
      </c>
      <c r="G20" s="53">
        <f t="shared" si="0"/>
        <v>648.23825598379415</v>
      </c>
      <c r="H20" s="58">
        <f t="shared" si="1"/>
        <v>1092.9005011873826</v>
      </c>
      <c r="I20" s="59">
        <f t="shared" si="5"/>
        <v>0.12009126201540418</v>
      </c>
      <c r="J20" s="54">
        <f t="shared" si="2"/>
        <v>12.002177260208233</v>
      </c>
      <c r="K20" s="27"/>
      <c r="L20" s="28"/>
      <c r="M20" s="52"/>
      <c r="N20" s="52"/>
      <c r="O20" s="61" t="str">
        <f t="shared" si="6"/>
        <v/>
      </c>
      <c r="P20" s="62" t="str">
        <f t="shared" si="7"/>
        <v/>
      </c>
      <c r="Q20" s="62">
        <f t="shared" si="3"/>
        <v>12.002177260208233</v>
      </c>
      <c r="R20" s="54">
        <f t="shared" si="8"/>
        <v>24.004354520416467</v>
      </c>
      <c r="S20" s="32">
        <v>367</v>
      </c>
      <c r="T20" s="47">
        <f t="shared" si="9"/>
        <v>26.162784218437569</v>
      </c>
      <c r="U20">
        <f t="shared" si="10"/>
        <v>128.91101197464192</v>
      </c>
      <c r="V20" s="47">
        <f t="shared" si="11"/>
        <v>32.227752993660481</v>
      </c>
      <c r="W20" s="14">
        <f t="shared" si="12"/>
        <v>8.2233984732440142</v>
      </c>
      <c r="X20" s="9">
        <f t="shared" si="13"/>
        <v>4.8023303128089054</v>
      </c>
      <c r="Y20">
        <f t="shared" si="14"/>
        <v>28.806684833225372</v>
      </c>
      <c r="Z20" s="47">
        <f t="shared" si="15"/>
        <v>31.396931698338282</v>
      </c>
      <c r="AA20">
        <f t="shared" si="16"/>
        <v>-3.7286846435260124</v>
      </c>
      <c r="AB20" s="9">
        <f t="shared" si="17"/>
        <v>3.7286846435260124</v>
      </c>
      <c r="AC20" s="78">
        <f t="shared" si="18"/>
        <v>29</v>
      </c>
      <c r="AD20" s="34">
        <v>30</v>
      </c>
      <c r="AE20">
        <f t="shared" si="19"/>
        <v>33</v>
      </c>
      <c r="AF20" s="34">
        <f t="shared" si="20"/>
        <v>27</v>
      </c>
      <c r="AG20" s="1">
        <f t="shared" si="21"/>
        <v>29</v>
      </c>
    </row>
    <row r="21" spans="1:33" x14ac:dyDescent="0.25">
      <c r="A21" s="8" t="s">
        <v>29</v>
      </c>
      <c r="B21" s="57">
        <v>11</v>
      </c>
      <c r="C21" s="51">
        <v>19.383180149361348</v>
      </c>
      <c r="D21" s="52">
        <v>10</v>
      </c>
      <c r="E21" s="51">
        <v>27.329177091673632</v>
      </c>
      <c r="F21" s="57">
        <f t="shared" si="4"/>
        <v>213.21498164297483</v>
      </c>
      <c r="G21" s="53">
        <f t="shared" si="0"/>
        <v>273.29177091673631</v>
      </c>
      <c r="H21" s="58">
        <f t="shared" si="1"/>
        <v>486.50675255971112</v>
      </c>
      <c r="I21" s="59">
        <f t="shared" si="5"/>
        <v>2.2576018062297292E-2</v>
      </c>
      <c r="J21" s="54">
        <f t="shared" si="2"/>
        <v>5.3427922085917059</v>
      </c>
      <c r="K21" s="27">
        <v>19</v>
      </c>
      <c r="L21" s="28" t="s">
        <v>87</v>
      </c>
      <c r="M21" s="62">
        <v>551</v>
      </c>
      <c r="N21" s="52">
        <v>649</v>
      </c>
      <c r="O21" s="61">
        <f t="shared" si="6"/>
        <v>1200</v>
      </c>
      <c r="P21" s="62">
        <f t="shared" si="7"/>
        <v>2.6283511477133346E-2</v>
      </c>
      <c r="Q21" s="62">
        <f t="shared" si="3"/>
        <v>6.2201996803403112</v>
      </c>
      <c r="R21" s="54">
        <f t="shared" si="8"/>
        <v>11.562991888932018</v>
      </c>
      <c r="S21" s="32">
        <v>94</v>
      </c>
      <c r="T21" s="47">
        <f t="shared" si="9"/>
        <v>49.204220803966038</v>
      </c>
      <c r="U21">
        <f t="shared" si="10"/>
        <v>33.018079361352427</v>
      </c>
      <c r="V21" s="47">
        <f t="shared" si="11"/>
        <v>8.2545198403381068</v>
      </c>
      <c r="W21" s="14">
        <f t="shared" si="12"/>
        <v>0</v>
      </c>
      <c r="X21" s="9">
        <f t="shared" si="13"/>
        <v>0</v>
      </c>
      <c r="Y21">
        <f t="shared" si="14"/>
        <v>11.562991888932018</v>
      </c>
      <c r="Z21" s="47">
        <f t="shared" si="15"/>
        <v>49.204220803966038</v>
      </c>
      <c r="AA21">
        <f t="shared" si="16"/>
        <v>14.078604462101744</v>
      </c>
      <c r="AB21" s="9" t="str">
        <f t="shared" si="17"/>
        <v/>
      </c>
      <c r="AC21" s="78">
        <f t="shared" si="18"/>
        <v>12</v>
      </c>
      <c r="AD21" s="34">
        <v>10</v>
      </c>
      <c r="AE21">
        <f t="shared" si="19"/>
        <v>11</v>
      </c>
      <c r="AF21" s="34">
        <f t="shared" si="20"/>
        <v>9</v>
      </c>
      <c r="AG21" s="1">
        <f t="shared" si="21"/>
        <v>11</v>
      </c>
    </row>
    <row r="22" spans="1:33" x14ac:dyDescent="0.25">
      <c r="A22" s="8" t="s">
        <v>30</v>
      </c>
      <c r="B22" s="57">
        <v>14</v>
      </c>
      <c r="C22" s="51">
        <v>15.942335012934731</v>
      </c>
      <c r="D22" s="52">
        <v>19</v>
      </c>
      <c r="E22" s="51">
        <v>23.287121096130154</v>
      </c>
      <c r="F22" s="57">
        <f t="shared" si="4"/>
        <v>223.19269018108622</v>
      </c>
      <c r="G22" s="53">
        <f t="shared" si="0"/>
        <v>442.45530082647292</v>
      </c>
      <c r="H22" s="58">
        <f t="shared" si="1"/>
        <v>665.64799100755909</v>
      </c>
      <c r="I22" s="59">
        <f t="shared" si="5"/>
        <v>3.0888946533736233E-2</v>
      </c>
      <c r="J22" s="54">
        <f t="shared" si="2"/>
        <v>7.3101121028806553</v>
      </c>
      <c r="K22" s="27">
        <v>31</v>
      </c>
      <c r="L22" s="28" t="s">
        <v>88</v>
      </c>
      <c r="M22" s="64">
        <v>639</v>
      </c>
      <c r="N22" s="52">
        <v>762</v>
      </c>
      <c r="O22" s="61">
        <f t="shared" si="6"/>
        <v>1401</v>
      </c>
      <c r="P22" s="62">
        <f t="shared" si="7"/>
        <v>3.0685999649553181E-2</v>
      </c>
      <c r="Q22" s="62">
        <f t="shared" si="3"/>
        <v>7.2620831267973136</v>
      </c>
      <c r="R22" s="54">
        <f t="shared" si="8"/>
        <v>14.57219522967797</v>
      </c>
      <c r="S22" s="32">
        <v>186</v>
      </c>
      <c r="T22" s="47">
        <f t="shared" si="9"/>
        <v>31.338054257371979</v>
      </c>
      <c r="U22">
        <f t="shared" si="10"/>
        <v>65.333646395867575</v>
      </c>
      <c r="V22" s="47">
        <f t="shared" si="11"/>
        <v>16.333411598966894</v>
      </c>
      <c r="W22" s="14">
        <f t="shared" si="12"/>
        <v>1.761216369288924</v>
      </c>
      <c r="X22" s="9">
        <f t="shared" si="13"/>
        <v>1.0285215759847406</v>
      </c>
      <c r="Y22">
        <f t="shared" si="14"/>
        <v>15.60071680566271</v>
      </c>
      <c r="Z22" s="47">
        <f t="shared" si="15"/>
        <v>33.549928614328408</v>
      </c>
      <c r="AA22">
        <f t="shared" si="16"/>
        <v>-1.575687727535886</v>
      </c>
      <c r="AB22" s="9">
        <f t="shared" si="17"/>
        <v>1.575687727535886</v>
      </c>
      <c r="AC22" s="78">
        <f t="shared" si="18"/>
        <v>16</v>
      </c>
      <c r="AD22" s="34">
        <v>19</v>
      </c>
      <c r="AE22">
        <f t="shared" si="19"/>
        <v>20.900000000000002</v>
      </c>
      <c r="AF22" s="34">
        <f t="shared" si="20"/>
        <v>17.100000000000001</v>
      </c>
      <c r="AG22" s="1">
        <f t="shared" si="21"/>
        <v>17</v>
      </c>
    </row>
    <row r="23" spans="1:33" x14ac:dyDescent="0.25">
      <c r="A23" s="8" t="s">
        <v>31</v>
      </c>
      <c r="B23" s="57">
        <v>25</v>
      </c>
      <c r="C23" s="51">
        <v>17.694761926869866</v>
      </c>
      <c r="D23" s="52">
        <v>23</v>
      </c>
      <c r="E23" s="51">
        <v>21.766669913495914</v>
      </c>
      <c r="F23" s="57">
        <f t="shared" si="4"/>
        <v>442.36904817174667</v>
      </c>
      <c r="G23" s="53">
        <f t="shared" si="0"/>
        <v>500.63340801040601</v>
      </c>
      <c r="H23" s="58">
        <f t="shared" si="1"/>
        <v>943.00245618215263</v>
      </c>
      <c r="I23" s="59">
        <f t="shared" si="5"/>
        <v>4.3759393618994148E-2</v>
      </c>
      <c r="J23" s="54">
        <f t="shared" si="2"/>
        <v>10.356004616717993</v>
      </c>
      <c r="K23" s="27">
        <v>7</v>
      </c>
      <c r="L23" s="28" t="s">
        <v>89</v>
      </c>
      <c r="M23" s="61">
        <v>514</v>
      </c>
      <c r="N23" s="52">
        <v>561</v>
      </c>
      <c r="O23" s="61">
        <f t="shared" si="6"/>
        <v>1075</v>
      </c>
      <c r="P23" s="62">
        <f t="shared" si="7"/>
        <v>2.354564569826529E-2</v>
      </c>
      <c r="Q23" s="62">
        <f t="shared" si="3"/>
        <v>5.5722622136381963</v>
      </c>
      <c r="R23" s="54">
        <f t="shared" si="8"/>
        <v>15.92826683035619</v>
      </c>
      <c r="S23" s="32">
        <v>416</v>
      </c>
      <c r="T23" s="47">
        <f t="shared" si="9"/>
        <v>15.315641183034797</v>
      </c>
      <c r="U23">
        <f t="shared" si="10"/>
        <v>146.12256398215544</v>
      </c>
      <c r="V23" s="47">
        <f t="shared" si="11"/>
        <v>36.53064099553886</v>
      </c>
      <c r="W23" s="14">
        <f t="shared" si="12"/>
        <v>20.60237416518267</v>
      </c>
      <c r="X23" s="9">
        <f t="shared" si="13"/>
        <v>12.031449806451811</v>
      </c>
      <c r="Y23">
        <f t="shared" si="14"/>
        <v>27.959716636808</v>
      </c>
      <c r="Z23" s="47">
        <f t="shared" si="15"/>
        <v>26.884342920007693</v>
      </c>
      <c r="AA23">
        <f t="shared" si="16"/>
        <v>-8.2412734218566008</v>
      </c>
      <c r="AB23" s="9">
        <f t="shared" si="17"/>
        <v>8.2412734218566008</v>
      </c>
      <c r="AC23" s="78">
        <f t="shared" si="18"/>
        <v>28</v>
      </c>
      <c r="AD23" s="34">
        <v>23</v>
      </c>
      <c r="AE23">
        <f t="shared" si="19"/>
        <v>25.3</v>
      </c>
      <c r="AF23" s="34">
        <f t="shared" si="20"/>
        <v>20.7</v>
      </c>
      <c r="AG23" s="1">
        <f t="shared" si="21"/>
        <v>25</v>
      </c>
    </row>
    <row r="24" spans="1:33" x14ac:dyDescent="0.25">
      <c r="A24" s="8" t="s">
        <v>32</v>
      </c>
      <c r="B24" s="57">
        <v>17</v>
      </c>
      <c r="C24" s="51">
        <v>19.049950552209491</v>
      </c>
      <c r="D24" s="52">
        <v>15</v>
      </c>
      <c r="E24" s="51">
        <v>21.868117242077421</v>
      </c>
      <c r="F24" s="57">
        <f t="shared" si="4"/>
        <v>323.84915938756137</v>
      </c>
      <c r="G24" s="53">
        <f t="shared" si="0"/>
        <v>328.02175863116133</v>
      </c>
      <c r="H24" s="58">
        <f t="shared" si="1"/>
        <v>651.8709180187227</v>
      </c>
      <c r="I24" s="59">
        <f t="shared" si="5"/>
        <v>3.024963074417094E-2</v>
      </c>
      <c r="J24" s="54">
        <f t="shared" si="2"/>
        <v>7.1588129938042195</v>
      </c>
      <c r="K24" s="27">
        <v>3</v>
      </c>
      <c r="L24" s="28" t="s">
        <v>90</v>
      </c>
      <c r="M24" s="62">
        <v>579</v>
      </c>
      <c r="N24" s="52">
        <v>693</v>
      </c>
      <c r="O24" s="61">
        <f t="shared" si="6"/>
        <v>1272</v>
      </c>
      <c r="P24" s="62">
        <f t="shared" si="7"/>
        <v>2.7860522165761344E-2</v>
      </c>
      <c r="Q24" s="62">
        <f t="shared" si="3"/>
        <v>6.5934116611607294</v>
      </c>
      <c r="R24" s="54">
        <f t="shared" si="8"/>
        <v>13.752224654964948</v>
      </c>
      <c r="S24" s="32">
        <v>175</v>
      </c>
      <c r="T24" s="47">
        <f t="shared" si="9"/>
        <v>31.433656354205596</v>
      </c>
      <c r="U24">
        <f t="shared" si="10"/>
        <v>61.469828598262502</v>
      </c>
      <c r="V24" s="47">
        <f t="shared" si="11"/>
        <v>15.367457149565626</v>
      </c>
      <c r="W24" s="14">
        <f t="shared" si="12"/>
        <v>1.6152324946006775</v>
      </c>
      <c r="X24" s="9">
        <f t="shared" si="13"/>
        <v>0.94326937899128727</v>
      </c>
      <c r="Y24">
        <f t="shared" si="14"/>
        <v>14.695494033956235</v>
      </c>
      <c r="Z24" s="47">
        <f t="shared" si="15"/>
        <v>33.589700649042825</v>
      </c>
      <c r="AA24">
        <f t="shared" si="16"/>
        <v>-1.5359156928214688</v>
      </c>
      <c r="AB24" s="9">
        <f t="shared" si="17"/>
        <v>1.5359156928214688</v>
      </c>
      <c r="AC24" s="78">
        <f t="shared" si="18"/>
        <v>15</v>
      </c>
      <c r="AD24" s="34">
        <v>15</v>
      </c>
      <c r="AE24">
        <f t="shared" si="19"/>
        <v>16.5</v>
      </c>
      <c r="AF24" s="34">
        <f t="shared" si="20"/>
        <v>13.5</v>
      </c>
      <c r="AG24" s="1">
        <f t="shared" si="21"/>
        <v>15</v>
      </c>
    </row>
    <row r="25" spans="1:33" x14ac:dyDescent="0.25">
      <c r="A25" s="8" t="s">
        <v>33</v>
      </c>
      <c r="B25" s="57">
        <v>11</v>
      </c>
      <c r="C25" s="51">
        <v>18.809508476347848</v>
      </c>
      <c r="D25" s="52">
        <v>10</v>
      </c>
      <c r="E25" s="51">
        <v>18.447914223971488</v>
      </c>
      <c r="F25" s="57">
        <f t="shared" si="4"/>
        <v>206.90459323982631</v>
      </c>
      <c r="G25" s="53">
        <f t="shared" si="0"/>
        <v>184.47914223971486</v>
      </c>
      <c r="H25" s="58">
        <f t="shared" si="1"/>
        <v>391.3837354795412</v>
      </c>
      <c r="I25" s="59">
        <f t="shared" si="5"/>
        <v>1.8161898545058817E-2</v>
      </c>
      <c r="J25" s="54">
        <f t="shared" si="2"/>
        <v>4.2981561129163612</v>
      </c>
      <c r="K25" s="27">
        <v>9</v>
      </c>
      <c r="L25" s="28" t="s">
        <v>91</v>
      </c>
      <c r="M25" s="62">
        <v>342</v>
      </c>
      <c r="N25" s="52">
        <v>405</v>
      </c>
      <c r="O25" s="61">
        <f t="shared" si="6"/>
        <v>747</v>
      </c>
      <c r="P25" s="62">
        <f t="shared" si="7"/>
        <v>1.6361485894515509E-2</v>
      </c>
      <c r="Q25" s="62">
        <f t="shared" si="3"/>
        <v>3.8720743010118444</v>
      </c>
      <c r="R25" s="54">
        <f t="shared" si="8"/>
        <v>8.1702304139282056</v>
      </c>
      <c r="S25" s="32">
        <v>104</v>
      </c>
      <c r="T25" s="47">
        <f t="shared" si="9"/>
        <v>31.4239631304931</v>
      </c>
      <c r="U25">
        <f t="shared" si="10"/>
        <v>36.53064099553886</v>
      </c>
      <c r="V25" s="47">
        <f t="shared" si="11"/>
        <v>9.1326602488847151</v>
      </c>
      <c r="W25" s="14">
        <f t="shared" si="12"/>
        <v>0.96242983495650947</v>
      </c>
      <c r="X25" s="9">
        <f t="shared" si="13"/>
        <v>0.56204329455775981</v>
      </c>
      <c r="Y25">
        <f t="shared" si="14"/>
        <v>8.7322737084859661</v>
      </c>
      <c r="Z25" s="47">
        <f t="shared" si="15"/>
        <v>33.585668109561404</v>
      </c>
      <c r="AA25">
        <f t="shared" si="16"/>
        <v>-1.5399482323028906</v>
      </c>
      <c r="AB25" s="9">
        <f t="shared" si="17"/>
        <v>1.5399482323028906</v>
      </c>
      <c r="AC25" s="78">
        <f t="shared" si="18"/>
        <v>9</v>
      </c>
      <c r="AD25" s="34">
        <v>10</v>
      </c>
      <c r="AE25">
        <f t="shared" si="19"/>
        <v>11</v>
      </c>
      <c r="AF25" s="34">
        <f t="shared" si="20"/>
        <v>9</v>
      </c>
      <c r="AG25" s="1">
        <f t="shared" si="21"/>
        <v>9</v>
      </c>
    </row>
    <row r="26" spans="1:33" x14ac:dyDescent="0.25">
      <c r="A26" s="8" t="s">
        <v>34</v>
      </c>
      <c r="B26" s="57">
        <v>5</v>
      </c>
      <c r="C26" s="51">
        <v>19.102982459291976</v>
      </c>
      <c r="D26" s="52">
        <v>8</v>
      </c>
      <c r="E26" s="51">
        <v>15.170225778910488</v>
      </c>
      <c r="F26" s="57">
        <f t="shared" si="4"/>
        <v>95.514912296459883</v>
      </c>
      <c r="G26" s="53">
        <f t="shared" si="0"/>
        <v>121.36180623128391</v>
      </c>
      <c r="H26" s="58">
        <f t="shared" si="1"/>
        <v>216.87671852774378</v>
      </c>
      <c r="I26" s="59">
        <f t="shared" si="5"/>
        <v>1.006401799977725E-2</v>
      </c>
      <c r="J26" s="54">
        <f t="shared" si="2"/>
        <v>2.3817290014546102</v>
      </c>
      <c r="K26" s="27">
        <v>6</v>
      </c>
      <c r="L26" s="28" t="s">
        <v>92</v>
      </c>
      <c r="M26" s="62">
        <v>434</v>
      </c>
      <c r="N26" s="52">
        <v>517</v>
      </c>
      <c r="O26" s="61">
        <f t="shared" si="6"/>
        <v>951</v>
      </c>
      <c r="P26" s="62">
        <f t="shared" si="7"/>
        <v>2.0829682845628177E-2</v>
      </c>
      <c r="Q26" s="62">
        <f t="shared" si="3"/>
        <v>4.9295082466696973</v>
      </c>
      <c r="R26" s="54">
        <f t="shared" si="8"/>
        <v>7.3112372481243071</v>
      </c>
      <c r="S26" s="32">
        <v>101</v>
      </c>
      <c r="T26" s="47">
        <f t="shared" si="9"/>
        <v>28.955395042076464</v>
      </c>
      <c r="U26">
        <f t="shared" si="10"/>
        <v>35.476872505282927</v>
      </c>
      <c r="V26" s="47">
        <f t="shared" si="11"/>
        <v>8.8692181263207317</v>
      </c>
      <c r="W26" s="14">
        <f t="shared" si="12"/>
        <v>1.5579808781964246</v>
      </c>
      <c r="X26" s="9">
        <f t="shared" si="13"/>
        <v>0.90983537067829945</v>
      </c>
      <c r="Y26">
        <f t="shared" si="14"/>
        <v>8.2210726188026069</v>
      </c>
      <c r="Z26" s="47">
        <f t="shared" si="15"/>
        <v>32.558703440802404</v>
      </c>
      <c r="AA26">
        <f t="shared" si="16"/>
        <v>-2.5669129010618903</v>
      </c>
      <c r="AB26" s="9">
        <f t="shared" si="17"/>
        <v>2.5669129010618903</v>
      </c>
      <c r="AC26" s="78">
        <f t="shared" si="18"/>
        <v>8</v>
      </c>
      <c r="AD26" s="34">
        <v>8</v>
      </c>
      <c r="AE26">
        <f t="shared" si="19"/>
        <v>8.8000000000000007</v>
      </c>
      <c r="AF26" s="34">
        <f t="shared" si="20"/>
        <v>7.2</v>
      </c>
      <c r="AG26" s="1">
        <f t="shared" si="21"/>
        <v>8</v>
      </c>
    </row>
    <row r="27" spans="1:33" x14ac:dyDescent="0.25">
      <c r="A27" s="8" t="s">
        <v>35</v>
      </c>
      <c r="B27" s="57">
        <v>15</v>
      </c>
      <c r="C27" s="51">
        <v>17.794386662466096</v>
      </c>
      <c r="D27" s="52">
        <v>20</v>
      </c>
      <c r="E27" s="51">
        <v>18.288382572446761</v>
      </c>
      <c r="F27" s="57">
        <f t="shared" si="4"/>
        <v>266.91579993699145</v>
      </c>
      <c r="G27" s="53">
        <f t="shared" si="0"/>
        <v>365.76765144893523</v>
      </c>
      <c r="H27" s="58">
        <f t="shared" si="1"/>
        <v>632.68345138592667</v>
      </c>
      <c r="I27" s="59">
        <f t="shared" si="5"/>
        <v>2.9359249282880608E-2</v>
      </c>
      <c r="J27" s="54">
        <f t="shared" si="2"/>
        <v>6.9480972191742802</v>
      </c>
      <c r="K27" s="27">
        <v>4</v>
      </c>
      <c r="L27" s="28" t="s">
        <v>93</v>
      </c>
      <c r="M27" s="62">
        <v>857</v>
      </c>
      <c r="N27" s="52">
        <v>1077</v>
      </c>
      <c r="O27" s="61">
        <f t="shared" si="6"/>
        <v>1934</v>
      </c>
      <c r="P27" s="62">
        <f t="shared" si="7"/>
        <v>4.2360259330646577E-2</v>
      </c>
      <c r="Q27" s="62">
        <f t="shared" si="3"/>
        <v>10.024888484815136</v>
      </c>
      <c r="R27" s="54">
        <f t="shared" si="8"/>
        <v>16.972985703989416</v>
      </c>
      <c r="S27" s="32">
        <v>176</v>
      </c>
      <c r="T27" s="47">
        <f t="shared" si="9"/>
        <v>38.574967509066852</v>
      </c>
      <c r="U27">
        <f t="shared" si="10"/>
        <v>61.821084761681142</v>
      </c>
      <c r="V27" s="47">
        <f t="shared" si="11"/>
        <v>15.455271190420286</v>
      </c>
      <c r="W27" s="14">
        <f t="shared" si="12"/>
        <v>0</v>
      </c>
      <c r="X27" s="9">
        <f t="shared" si="13"/>
        <v>0</v>
      </c>
      <c r="Y27">
        <f t="shared" si="14"/>
        <v>16.972985703989416</v>
      </c>
      <c r="Z27" s="47">
        <f t="shared" si="15"/>
        <v>38.574967509066852</v>
      </c>
      <c r="AA27">
        <f t="shared" si="16"/>
        <v>3.4493511672025576</v>
      </c>
      <c r="AB27" s="9" t="str">
        <f t="shared" si="17"/>
        <v/>
      </c>
      <c r="AC27" s="78">
        <f t="shared" si="18"/>
        <v>17</v>
      </c>
      <c r="AD27" s="34">
        <v>20</v>
      </c>
      <c r="AE27">
        <f t="shared" si="19"/>
        <v>22</v>
      </c>
      <c r="AF27" s="34">
        <f t="shared" si="20"/>
        <v>18</v>
      </c>
      <c r="AG27" s="1">
        <f t="shared" si="21"/>
        <v>18</v>
      </c>
    </row>
    <row r="28" spans="1:33" x14ac:dyDescent="0.25">
      <c r="A28" s="8" t="s">
        <v>36</v>
      </c>
      <c r="B28" s="57">
        <v>11</v>
      </c>
      <c r="C28" s="51">
        <v>21.123326965782169</v>
      </c>
      <c r="D28" s="52">
        <v>15</v>
      </c>
      <c r="E28" s="51">
        <v>15.493755107445491</v>
      </c>
      <c r="F28" s="57">
        <f t="shared" si="4"/>
        <v>232.35659662360388</v>
      </c>
      <c r="G28" s="53">
        <f t="shared" si="0"/>
        <v>232.40632661168237</v>
      </c>
      <c r="H28" s="58">
        <f t="shared" si="1"/>
        <v>464.76292323528628</v>
      </c>
      <c r="I28" s="59">
        <f t="shared" si="5"/>
        <v>2.1567010312684452E-2</v>
      </c>
      <c r="J28" s="54">
        <f t="shared" si="2"/>
        <v>5.1040025899723291</v>
      </c>
      <c r="K28" s="27">
        <v>2</v>
      </c>
      <c r="L28" s="28" t="s">
        <v>94</v>
      </c>
      <c r="M28" s="61">
        <v>687</v>
      </c>
      <c r="N28" s="52">
        <v>822</v>
      </c>
      <c r="O28" s="61">
        <f t="shared" si="6"/>
        <v>1509</v>
      </c>
      <c r="P28" s="62">
        <f t="shared" si="7"/>
        <v>3.3051515682495182E-2</v>
      </c>
      <c r="Q28" s="62">
        <f t="shared" si="3"/>
        <v>7.8219010980279418</v>
      </c>
      <c r="R28" s="54">
        <f t="shared" si="8"/>
        <v>12.925903688000272</v>
      </c>
      <c r="S28" s="32">
        <v>178</v>
      </c>
      <c r="T28" s="47">
        <f t="shared" si="9"/>
        <v>29.046974579775892</v>
      </c>
      <c r="U28">
        <f t="shared" si="10"/>
        <v>62.523597088518429</v>
      </c>
      <c r="V28" s="47">
        <f t="shared" si="11"/>
        <v>15.630899272129607</v>
      </c>
      <c r="W28" s="14">
        <f t="shared" si="12"/>
        <v>2.7049955841293354</v>
      </c>
      <c r="X28" s="9">
        <f t="shared" si="13"/>
        <v>1.5796732132030638</v>
      </c>
      <c r="Y28">
        <f t="shared" si="14"/>
        <v>14.505576901203336</v>
      </c>
      <c r="Z28" s="47">
        <f t="shared" si="15"/>
        <v>32.596802025176039</v>
      </c>
      <c r="AA28">
        <f t="shared" si="16"/>
        <v>-2.5288143166882548</v>
      </c>
      <c r="AB28" s="9">
        <f t="shared" si="17"/>
        <v>2.5288143166882548</v>
      </c>
      <c r="AC28" s="78">
        <f t="shared" si="18"/>
        <v>15</v>
      </c>
      <c r="AD28" s="34">
        <v>15</v>
      </c>
      <c r="AE28">
        <f t="shared" si="19"/>
        <v>16.5</v>
      </c>
      <c r="AF28" s="34">
        <f t="shared" si="20"/>
        <v>13.5</v>
      </c>
      <c r="AG28" s="1">
        <f t="shared" si="21"/>
        <v>15</v>
      </c>
    </row>
    <row r="29" spans="1:33" x14ac:dyDescent="0.25">
      <c r="A29" s="8" t="s">
        <v>37</v>
      </c>
      <c r="B29" s="57">
        <v>7</v>
      </c>
      <c r="C29" s="51">
        <v>21.620668878107789</v>
      </c>
      <c r="D29" s="52">
        <v>6</v>
      </c>
      <c r="E29" s="51">
        <v>15.077094802055992</v>
      </c>
      <c r="F29" s="57">
        <f t="shared" si="4"/>
        <v>151.34468214675454</v>
      </c>
      <c r="G29" s="53">
        <f t="shared" si="0"/>
        <v>90.462568812335945</v>
      </c>
      <c r="H29" s="58">
        <f t="shared" si="1"/>
        <v>241.80725095909048</v>
      </c>
      <c r="I29" s="59">
        <f t="shared" si="5"/>
        <v>2.6570523026207191E-2</v>
      </c>
      <c r="J29" s="54">
        <f t="shared" si="2"/>
        <v>2.655514830180377</v>
      </c>
      <c r="K29" s="27"/>
      <c r="L29" s="28"/>
      <c r="M29" s="52"/>
      <c r="N29" s="52"/>
      <c r="O29" s="61" t="str">
        <f t="shared" si="6"/>
        <v/>
      </c>
      <c r="P29" s="62" t="str">
        <f t="shared" si="7"/>
        <v/>
      </c>
      <c r="Q29" s="62">
        <f t="shared" si="3"/>
        <v>2.655514830180377</v>
      </c>
      <c r="R29" s="54">
        <f t="shared" si="8"/>
        <v>5.3110296603607541</v>
      </c>
      <c r="S29" s="32">
        <v>68</v>
      </c>
      <c r="T29" s="47">
        <f t="shared" si="9"/>
        <v>31.241350943298553</v>
      </c>
      <c r="U29">
        <f t="shared" si="10"/>
        <v>23.885419112467716</v>
      </c>
      <c r="V29" s="47">
        <f t="shared" si="11"/>
        <v>5.9713547781169289</v>
      </c>
      <c r="W29" s="14">
        <f t="shared" si="12"/>
        <v>0.66032511775617486</v>
      </c>
      <c r="X29" s="9">
        <f t="shared" si="13"/>
        <v>0.38561907703089027</v>
      </c>
      <c r="Y29">
        <f t="shared" si="14"/>
        <v>5.6966487373916443</v>
      </c>
      <c r="Z29" s="47">
        <f t="shared" si="15"/>
        <v>33.509698455244965</v>
      </c>
      <c r="AA29">
        <f t="shared" si="16"/>
        <v>-1.6159178866193287</v>
      </c>
      <c r="AB29" s="9">
        <f t="shared" si="17"/>
        <v>1.6159178866193287</v>
      </c>
      <c r="AC29" s="78">
        <f t="shared" si="18"/>
        <v>6</v>
      </c>
      <c r="AD29" s="34">
        <v>6</v>
      </c>
      <c r="AE29">
        <f t="shared" si="19"/>
        <v>6.6000000000000005</v>
      </c>
      <c r="AF29" s="34">
        <f t="shared" si="20"/>
        <v>5.4</v>
      </c>
      <c r="AG29" s="1">
        <f t="shared" si="21"/>
        <v>6</v>
      </c>
    </row>
    <row r="30" spans="1:33" x14ac:dyDescent="0.25">
      <c r="A30" s="8" t="s">
        <v>38</v>
      </c>
      <c r="B30" s="57">
        <v>5</v>
      </c>
      <c r="C30" s="51">
        <v>13.378689007760578</v>
      </c>
      <c r="D30" s="52">
        <v>7</v>
      </c>
      <c r="E30" s="51">
        <v>19.640540938334411</v>
      </c>
      <c r="F30" s="57">
        <f t="shared" si="4"/>
        <v>66.893445038802895</v>
      </c>
      <c r="G30" s="53">
        <f t="shared" si="0"/>
        <v>137.48378656834086</v>
      </c>
      <c r="H30" s="58">
        <f t="shared" si="1"/>
        <v>204.37723160714376</v>
      </c>
      <c r="I30" s="59">
        <f t="shared" si="5"/>
        <v>9.4839877309182783E-3</v>
      </c>
      <c r="J30" s="54">
        <f t="shared" si="2"/>
        <v>2.2444602770650568</v>
      </c>
      <c r="K30" s="27">
        <v>1</v>
      </c>
      <c r="L30" s="28" t="s">
        <v>95</v>
      </c>
      <c r="M30" s="62">
        <v>394</v>
      </c>
      <c r="N30" s="52">
        <v>457</v>
      </c>
      <c r="O30" s="61">
        <f t="shared" si="6"/>
        <v>851</v>
      </c>
      <c r="P30" s="62">
        <f t="shared" si="7"/>
        <v>1.863939022253373E-2</v>
      </c>
      <c r="Q30" s="62">
        <f t="shared" si="3"/>
        <v>4.4111582733080041</v>
      </c>
      <c r="R30" s="54">
        <f t="shared" si="8"/>
        <v>6.6556185503730614</v>
      </c>
      <c r="S30" s="32">
        <v>64</v>
      </c>
      <c r="T30" s="47">
        <f t="shared" si="9"/>
        <v>41.597615939831634</v>
      </c>
      <c r="U30">
        <f t="shared" si="10"/>
        <v>22.480394458793143</v>
      </c>
      <c r="V30" s="47">
        <f t="shared" si="11"/>
        <v>5.6200986146982856</v>
      </c>
      <c r="W30" s="14">
        <f t="shared" si="12"/>
        <v>0</v>
      </c>
      <c r="X30" s="9">
        <f t="shared" si="13"/>
        <v>0</v>
      </c>
      <c r="Y30">
        <f t="shared" si="14"/>
        <v>6.6556185503730614</v>
      </c>
      <c r="Z30" s="47">
        <f t="shared" si="15"/>
        <v>41.597615939831634</v>
      </c>
      <c r="AA30">
        <f t="shared" si="16"/>
        <v>6.4719995979673399</v>
      </c>
      <c r="AB30" s="9" t="str">
        <f t="shared" si="17"/>
        <v/>
      </c>
      <c r="AC30" s="78">
        <f t="shared" si="18"/>
        <v>7</v>
      </c>
      <c r="AD30" s="34">
        <v>7</v>
      </c>
      <c r="AE30">
        <f t="shared" si="19"/>
        <v>7.7000000000000011</v>
      </c>
      <c r="AF30" s="34">
        <f t="shared" si="20"/>
        <v>6.3</v>
      </c>
      <c r="AG30" s="1">
        <f t="shared" si="21"/>
        <v>7</v>
      </c>
    </row>
    <row r="31" spans="1:33" x14ac:dyDescent="0.25">
      <c r="A31" s="8" t="s">
        <v>39</v>
      </c>
      <c r="B31" s="57">
        <v>6</v>
      </c>
      <c r="C31" s="51">
        <v>18.901956739531972</v>
      </c>
      <c r="D31" s="52">
        <v>9</v>
      </c>
      <c r="E31" s="51">
        <v>21.191239143011181</v>
      </c>
      <c r="F31" s="57">
        <f t="shared" si="4"/>
        <v>113.41174043719184</v>
      </c>
      <c r="G31" s="53">
        <f t="shared" si="0"/>
        <v>190.72115228710064</v>
      </c>
      <c r="H31" s="58">
        <f t="shared" si="1"/>
        <v>304.13289272429245</v>
      </c>
      <c r="I31" s="59">
        <f t="shared" si="5"/>
        <v>1.4113081973388732E-2</v>
      </c>
      <c r="J31" s="54">
        <f t="shared" si="2"/>
        <v>3.3399718319929659</v>
      </c>
      <c r="K31" s="27">
        <v>22</v>
      </c>
      <c r="L31" s="28" t="s">
        <v>96</v>
      </c>
      <c r="M31" s="61">
        <v>433</v>
      </c>
      <c r="N31" s="52">
        <v>513</v>
      </c>
      <c r="O31" s="61">
        <f t="shared" si="6"/>
        <v>946</v>
      </c>
      <c r="P31" s="62">
        <f t="shared" si="7"/>
        <v>2.0720168214473453E-2</v>
      </c>
      <c r="Q31" s="62">
        <f t="shared" si="3"/>
        <v>4.9035907480016121</v>
      </c>
      <c r="R31" s="54">
        <f t="shared" si="8"/>
        <v>8.2435625799945775</v>
      </c>
      <c r="S31" s="32">
        <v>62</v>
      </c>
      <c r="T31" s="47">
        <f t="shared" si="9"/>
        <v>53.18427470964243</v>
      </c>
      <c r="U31">
        <f t="shared" si="10"/>
        <v>21.777882131955856</v>
      </c>
      <c r="V31" s="47">
        <f t="shared" si="11"/>
        <v>5.444470532988964</v>
      </c>
      <c r="W31" s="14">
        <f t="shared" si="12"/>
        <v>0</v>
      </c>
      <c r="X31" s="9">
        <f t="shared" si="13"/>
        <v>0</v>
      </c>
      <c r="Y31">
        <f t="shared" si="14"/>
        <v>8.2435625799945775</v>
      </c>
      <c r="Z31" s="47">
        <f t="shared" si="15"/>
        <v>53.18427470964243</v>
      </c>
      <c r="AA31">
        <f t="shared" si="16"/>
        <v>18.058658367778136</v>
      </c>
      <c r="AB31" s="9" t="str">
        <f t="shared" si="17"/>
        <v/>
      </c>
      <c r="AC31" s="78">
        <f t="shared" si="18"/>
        <v>8</v>
      </c>
      <c r="AD31" s="34">
        <v>9</v>
      </c>
      <c r="AE31">
        <f t="shared" si="19"/>
        <v>9.9</v>
      </c>
      <c r="AF31" s="34">
        <f t="shared" si="20"/>
        <v>8.1</v>
      </c>
      <c r="AG31" s="1">
        <f t="shared" si="21"/>
        <v>8</v>
      </c>
    </row>
    <row r="32" spans="1:33" x14ac:dyDescent="0.25">
      <c r="A32" s="8" t="s">
        <v>40</v>
      </c>
      <c r="B32" s="57">
        <v>6</v>
      </c>
      <c r="C32" s="51">
        <v>18.864077802997354</v>
      </c>
      <c r="D32" s="52">
        <v>7</v>
      </c>
      <c r="E32" s="51">
        <v>21.687073357373183</v>
      </c>
      <c r="F32" s="57">
        <f t="shared" si="4"/>
        <v>113.18446681798412</v>
      </c>
      <c r="G32" s="53">
        <f t="shared" si="0"/>
        <v>151.80951350161229</v>
      </c>
      <c r="H32" s="58">
        <f t="shared" si="1"/>
        <v>264.9939803195964</v>
      </c>
      <c r="I32" s="59">
        <f t="shared" si="5"/>
        <v>1.2296867113598802E-2</v>
      </c>
      <c r="J32" s="54">
        <f t="shared" si="2"/>
        <v>2.9101503030042219</v>
      </c>
      <c r="K32" s="27">
        <v>13</v>
      </c>
      <c r="L32" s="28" t="s">
        <v>97</v>
      </c>
      <c r="M32" s="62">
        <v>357</v>
      </c>
      <c r="N32" s="52">
        <v>435</v>
      </c>
      <c r="O32" s="61">
        <f t="shared" si="6"/>
        <v>792</v>
      </c>
      <c r="P32" s="62">
        <f t="shared" si="7"/>
        <v>1.7347117574908009E-2</v>
      </c>
      <c r="Q32" s="62">
        <f t="shared" si="3"/>
        <v>4.1053317890246062</v>
      </c>
      <c r="R32" s="54">
        <f t="shared" si="8"/>
        <v>7.0154820920288277</v>
      </c>
      <c r="S32" s="32">
        <v>74</v>
      </c>
      <c r="T32" s="47">
        <f t="shared" si="9"/>
        <v>37.921524821777446</v>
      </c>
      <c r="U32">
        <f t="shared" si="10"/>
        <v>25.992956092979572</v>
      </c>
      <c r="V32" s="47">
        <f t="shared" si="11"/>
        <v>6.498239023244893</v>
      </c>
      <c r="W32" s="14">
        <f t="shared" si="12"/>
        <v>0</v>
      </c>
      <c r="X32" s="9">
        <f t="shared" si="13"/>
        <v>0</v>
      </c>
      <c r="Y32">
        <f t="shared" si="14"/>
        <v>7.0154820920288277</v>
      </c>
      <c r="Z32" s="47">
        <f t="shared" si="15"/>
        <v>37.921524821777446</v>
      </c>
      <c r="AA32">
        <f t="shared" si="16"/>
        <v>2.7959084799131517</v>
      </c>
      <c r="AB32" s="9" t="str">
        <f t="shared" si="17"/>
        <v/>
      </c>
      <c r="AC32" s="78">
        <f t="shared" si="18"/>
        <v>7</v>
      </c>
      <c r="AD32" s="34">
        <v>7</v>
      </c>
      <c r="AE32">
        <f t="shared" si="19"/>
        <v>7.7000000000000011</v>
      </c>
      <c r="AF32" s="34">
        <f t="shared" si="20"/>
        <v>6.3</v>
      </c>
      <c r="AG32" s="1">
        <f t="shared" si="21"/>
        <v>7</v>
      </c>
    </row>
    <row r="33" spans="1:33" x14ac:dyDescent="0.25">
      <c r="A33" s="8" t="s">
        <v>41</v>
      </c>
      <c r="B33" s="57">
        <v>10</v>
      </c>
      <c r="C33" s="51">
        <v>16.704711490290588</v>
      </c>
      <c r="D33" s="52">
        <v>14</v>
      </c>
      <c r="E33" s="51">
        <v>20.347560975685937</v>
      </c>
      <c r="F33" s="57">
        <f t="shared" si="4"/>
        <v>167.04711490290589</v>
      </c>
      <c r="G33" s="53">
        <f t="shared" si="0"/>
        <v>284.86585365960309</v>
      </c>
      <c r="H33" s="58">
        <f t="shared" si="1"/>
        <v>451.91296856250898</v>
      </c>
      <c r="I33" s="59">
        <f t="shared" si="5"/>
        <v>2.0970716823917889E-2</v>
      </c>
      <c r="J33" s="54">
        <f t="shared" si="2"/>
        <v>4.9628850467003174</v>
      </c>
      <c r="K33" s="27">
        <v>16</v>
      </c>
      <c r="L33" s="28" t="s">
        <v>98</v>
      </c>
      <c r="M33" s="62">
        <v>623</v>
      </c>
      <c r="N33" s="52">
        <v>759</v>
      </c>
      <c r="O33" s="61">
        <f t="shared" si="6"/>
        <v>1382</v>
      </c>
      <c r="P33" s="62">
        <f t="shared" si="7"/>
        <v>3.0269844051165236E-2</v>
      </c>
      <c r="Q33" s="62">
        <f t="shared" si="3"/>
        <v>7.1635966318585922</v>
      </c>
      <c r="R33" s="54">
        <f t="shared" si="8"/>
        <v>12.12648167855891</v>
      </c>
      <c r="S33" s="32">
        <v>191</v>
      </c>
      <c r="T33" s="47">
        <f t="shared" si="9"/>
        <v>25.39577314881447</v>
      </c>
      <c r="U33">
        <f t="shared" si="10"/>
        <v>67.089927212960788</v>
      </c>
      <c r="V33" s="47">
        <f t="shared" si="11"/>
        <v>16.772481803240197</v>
      </c>
      <c r="W33" s="14">
        <f t="shared" si="12"/>
        <v>4.6460001246812865</v>
      </c>
      <c r="X33" s="9">
        <f t="shared" si="13"/>
        <v>2.7131881429149907</v>
      </c>
      <c r="Y33">
        <f t="shared" si="14"/>
        <v>14.839669821473901</v>
      </c>
      <c r="Z33" s="47">
        <f t="shared" si="15"/>
        <v>31.077842558060524</v>
      </c>
      <c r="AA33">
        <f t="shared" si="16"/>
        <v>-4.0477737838037697</v>
      </c>
      <c r="AB33" s="9">
        <f t="shared" si="17"/>
        <v>4.0477737838037697</v>
      </c>
      <c r="AC33" s="78">
        <f t="shared" si="18"/>
        <v>15</v>
      </c>
      <c r="AD33" s="34">
        <v>14</v>
      </c>
      <c r="AE33">
        <f t="shared" si="19"/>
        <v>15.400000000000002</v>
      </c>
      <c r="AF33" s="34">
        <f t="shared" si="20"/>
        <v>12.6</v>
      </c>
      <c r="AG33" s="1">
        <f t="shared" si="21"/>
        <v>15</v>
      </c>
    </row>
    <row r="34" spans="1:33" x14ac:dyDescent="0.25">
      <c r="A34" s="8" t="s">
        <v>42</v>
      </c>
      <c r="B34" s="57">
        <v>17</v>
      </c>
      <c r="C34" s="51">
        <v>19.046550611744639</v>
      </c>
      <c r="D34" s="52">
        <v>15</v>
      </c>
      <c r="E34" s="51">
        <v>24.528612532106436</v>
      </c>
      <c r="F34" s="57">
        <f t="shared" si="4"/>
        <v>323.79136039965886</v>
      </c>
      <c r="G34" s="53">
        <f t="shared" si="0"/>
        <v>367.92918798159656</v>
      </c>
      <c r="H34" s="58">
        <f t="shared" si="1"/>
        <v>691.72054838125541</v>
      </c>
      <c r="I34" s="59">
        <f t="shared" si="5"/>
        <v>3.2098825991938834E-2</v>
      </c>
      <c r="J34" s="54">
        <f t="shared" si="2"/>
        <v>7.5964395909603777</v>
      </c>
      <c r="K34" s="27">
        <v>33</v>
      </c>
      <c r="L34" s="28" t="s">
        <v>99</v>
      </c>
      <c r="M34" s="61">
        <v>570</v>
      </c>
      <c r="N34" s="52">
        <v>678</v>
      </c>
      <c r="O34" s="61">
        <f t="shared" si="6"/>
        <v>1248</v>
      </c>
      <c r="P34" s="62">
        <f t="shared" si="7"/>
        <v>2.7334851936218679E-2</v>
      </c>
      <c r="Q34" s="62">
        <f t="shared" si="3"/>
        <v>6.4690076675539236</v>
      </c>
      <c r="R34" s="54">
        <f t="shared" si="8"/>
        <v>14.0654472585143</v>
      </c>
      <c r="S34" s="32">
        <v>169</v>
      </c>
      <c r="T34" s="47">
        <f t="shared" si="9"/>
        <v>33.290999428436216</v>
      </c>
      <c r="U34">
        <f t="shared" si="10"/>
        <v>59.362291617750643</v>
      </c>
      <c r="V34" s="47">
        <f t="shared" si="11"/>
        <v>14.840572904437661</v>
      </c>
      <c r="W34" s="14">
        <f t="shared" si="12"/>
        <v>0.7751256459233602</v>
      </c>
      <c r="X34" s="9">
        <f t="shared" si="13"/>
        <v>0.4526607092876162</v>
      </c>
      <c r="Y34">
        <f t="shared" si="14"/>
        <v>14.518107967801917</v>
      </c>
      <c r="Z34" s="47">
        <f t="shared" si="15"/>
        <v>34.362385722608089</v>
      </c>
      <c r="AA34">
        <f t="shared" si="16"/>
        <v>-0.7632306192562055</v>
      </c>
      <c r="AB34" s="9">
        <f t="shared" si="17"/>
        <v>0.7632306192562055</v>
      </c>
      <c r="AC34" s="78">
        <f t="shared" si="18"/>
        <v>15</v>
      </c>
      <c r="AD34" s="34">
        <v>15</v>
      </c>
      <c r="AE34">
        <f t="shared" si="19"/>
        <v>16.5</v>
      </c>
      <c r="AF34" s="34">
        <f t="shared" si="20"/>
        <v>13.5</v>
      </c>
      <c r="AG34" s="1">
        <f t="shared" si="21"/>
        <v>15</v>
      </c>
    </row>
    <row r="35" spans="1:33" x14ac:dyDescent="0.25">
      <c r="A35" s="8" t="s">
        <v>43</v>
      </c>
      <c r="B35" s="57">
        <v>10</v>
      </c>
      <c r="C35" s="51">
        <v>16.231435511617178</v>
      </c>
      <c r="D35" s="52">
        <v>11</v>
      </c>
      <c r="E35" s="51">
        <v>18.457338257185466</v>
      </c>
      <c r="F35" s="57">
        <f t="shared" si="4"/>
        <v>162.31435511617178</v>
      </c>
      <c r="G35" s="53">
        <f t="shared" si="0"/>
        <v>203.03072082904012</v>
      </c>
      <c r="H35" s="58">
        <f t="shared" si="1"/>
        <v>365.34507594521187</v>
      </c>
      <c r="I35" s="59">
        <f t="shared" si="5"/>
        <v>1.6953592093252933E-2</v>
      </c>
      <c r="J35" s="54">
        <f t="shared" si="2"/>
        <v>4.0122008891702894</v>
      </c>
      <c r="K35" s="27">
        <v>11</v>
      </c>
      <c r="L35" s="28" t="s">
        <v>100</v>
      </c>
      <c r="M35" s="61">
        <v>535</v>
      </c>
      <c r="N35" s="52">
        <v>632</v>
      </c>
      <c r="O35" s="61">
        <f t="shared" si="6"/>
        <v>1167</v>
      </c>
      <c r="P35" s="62">
        <f t="shared" si="7"/>
        <v>2.5560714911512177E-2</v>
      </c>
      <c r="Q35" s="62">
        <f t="shared" si="3"/>
        <v>6.0491441891309528</v>
      </c>
      <c r="R35" s="54">
        <f t="shared" si="8"/>
        <v>10.061345078301242</v>
      </c>
      <c r="S35" s="32">
        <v>133</v>
      </c>
      <c r="T35" s="47">
        <f t="shared" si="9"/>
        <v>30.259684446018774</v>
      </c>
      <c r="U35">
        <f t="shared" si="10"/>
        <v>46.717069734679498</v>
      </c>
      <c r="V35" s="47">
        <f t="shared" si="11"/>
        <v>11.679267433669875</v>
      </c>
      <c r="W35" s="14">
        <f t="shared" si="12"/>
        <v>1.6179223553686324</v>
      </c>
      <c r="X35" s="9">
        <f t="shared" si="13"/>
        <v>0.9448402137191938</v>
      </c>
      <c r="Y35">
        <f t="shared" si="14"/>
        <v>11.006185292020437</v>
      </c>
      <c r="Z35" s="47">
        <f t="shared" si="15"/>
        <v>33.101309148933645</v>
      </c>
      <c r="AA35">
        <f t="shared" si="16"/>
        <v>-2.0243071929306495</v>
      </c>
      <c r="AB35" s="9">
        <f t="shared" si="17"/>
        <v>2.0243071929306495</v>
      </c>
      <c r="AC35" s="78">
        <f t="shared" si="18"/>
        <v>11</v>
      </c>
      <c r="AD35" s="34">
        <v>11</v>
      </c>
      <c r="AE35">
        <f t="shared" si="19"/>
        <v>12.100000000000001</v>
      </c>
      <c r="AF35" s="34">
        <f t="shared" si="20"/>
        <v>9.9</v>
      </c>
      <c r="AG35" s="1">
        <f t="shared" si="21"/>
        <v>11</v>
      </c>
    </row>
    <row r="36" spans="1:33" x14ac:dyDescent="0.25">
      <c r="A36" s="8" t="s">
        <v>44</v>
      </c>
      <c r="B36" s="57">
        <v>10</v>
      </c>
      <c r="C36" s="51">
        <v>19.633468914243462</v>
      </c>
      <c r="D36" s="52">
        <v>10</v>
      </c>
      <c r="E36" s="51">
        <v>24.364470510337977</v>
      </c>
      <c r="F36" s="57">
        <f t="shared" si="4"/>
        <v>196.33468914243463</v>
      </c>
      <c r="G36" s="53">
        <f t="shared" si="0"/>
        <v>243.64470510337978</v>
      </c>
      <c r="H36" s="58">
        <f t="shared" si="1"/>
        <v>439.97939424581443</v>
      </c>
      <c r="I36" s="59">
        <f t="shared" si="5"/>
        <v>2.0416947348152192E-2</v>
      </c>
      <c r="J36" s="54">
        <f t="shared" si="2"/>
        <v>4.8318311455069107</v>
      </c>
      <c r="K36" s="27">
        <v>8</v>
      </c>
      <c r="L36" s="28" t="s">
        <v>101</v>
      </c>
      <c r="M36" s="61">
        <v>380</v>
      </c>
      <c r="N36" s="52">
        <v>443</v>
      </c>
      <c r="O36" s="61">
        <f t="shared" si="6"/>
        <v>823</v>
      </c>
      <c r="P36" s="62">
        <f t="shared" si="7"/>
        <v>1.8026108288067284E-2</v>
      </c>
      <c r="Q36" s="62">
        <f t="shared" si="3"/>
        <v>4.26602028076673</v>
      </c>
      <c r="R36" s="54">
        <f t="shared" si="8"/>
        <v>9.0978514262736407</v>
      </c>
      <c r="S36" s="32">
        <v>126</v>
      </c>
      <c r="T36" s="47">
        <f t="shared" si="9"/>
        <v>28.882068019916318</v>
      </c>
      <c r="U36">
        <f t="shared" si="10"/>
        <v>44.258276590748999</v>
      </c>
      <c r="V36" s="47">
        <f t="shared" si="11"/>
        <v>11.06456914768725</v>
      </c>
      <c r="W36" s="14">
        <f t="shared" si="12"/>
        <v>1.9667177214136089</v>
      </c>
      <c r="X36" s="9">
        <f t="shared" si="13"/>
        <v>1.1485310071028558</v>
      </c>
      <c r="Y36">
        <f t="shared" si="14"/>
        <v>10.246382433376496</v>
      </c>
      <c r="Z36" s="47">
        <f t="shared" si="15"/>
        <v>32.528198201195224</v>
      </c>
      <c r="AA36">
        <f t="shared" si="16"/>
        <v>-2.5974181406690704</v>
      </c>
      <c r="AB36" s="9">
        <f t="shared" si="17"/>
        <v>2.5974181406690704</v>
      </c>
      <c r="AC36" s="78">
        <f t="shared" si="18"/>
        <v>10</v>
      </c>
      <c r="AD36" s="34">
        <v>10</v>
      </c>
      <c r="AE36">
        <f t="shared" si="19"/>
        <v>11</v>
      </c>
      <c r="AF36" s="34">
        <f t="shared" si="20"/>
        <v>9</v>
      </c>
      <c r="AG36" s="1">
        <f t="shared" si="21"/>
        <v>10</v>
      </c>
    </row>
    <row r="37" spans="1:33" x14ac:dyDescent="0.25">
      <c r="A37" s="8" t="s">
        <v>45</v>
      </c>
      <c r="B37" s="57">
        <v>10</v>
      </c>
      <c r="C37" s="51">
        <v>26.663488071462819</v>
      </c>
      <c r="D37" s="52">
        <v>15</v>
      </c>
      <c r="E37" s="51">
        <v>22.356682052636902</v>
      </c>
      <c r="F37" s="57">
        <f t="shared" si="4"/>
        <v>266.6348807146282</v>
      </c>
      <c r="G37" s="53">
        <f t="shared" si="0"/>
        <v>335.35023078955351</v>
      </c>
      <c r="H37" s="58">
        <f t="shared" si="1"/>
        <v>601.98511150418176</v>
      </c>
      <c r="I37" s="59">
        <f t="shared" si="5"/>
        <v>2.7934713504072988E-2</v>
      </c>
      <c r="J37" s="54">
        <f t="shared" si="2"/>
        <v>6.6109696248008465</v>
      </c>
      <c r="K37" s="27">
        <v>5</v>
      </c>
      <c r="L37" s="28" t="s">
        <v>102</v>
      </c>
      <c r="M37" s="61">
        <v>506</v>
      </c>
      <c r="N37" s="52">
        <v>583</v>
      </c>
      <c r="O37" s="61">
        <f t="shared" si="6"/>
        <v>1089</v>
      </c>
      <c r="P37" s="62">
        <f t="shared" si="7"/>
        <v>2.3852286665498511E-2</v>
      </c>
      <c r="Q37" s="62">
        <f t="shared" si="3"/>
        <v>5.6448312099088325</v>
      </c>
      <c r="R37" s="54">
        <f t="shared" si="8"/>
        <v>12.255800834709678</v>
      </c>
      <c r="S37" s="32">
        <v>143</v>
      </c>
      <c r="T37" s="47">
        <f t="shared" si="9"/>
        <v>34.281960376810289</v>
      </c>
      <c r="U37">
        <f t="shared" si="10"/>
        <v>50.229631368865931</v>
      </c>
      <c r="V37" s="47">
        <f t="shared" si="11"/>
        <v>12.557407842216483</v>
      </c>
      <c r="W37" s="14">
        <f t="shared" si="12"/>
        <v>0.30160700750680469</v>
      </c>
      <c r="X37" s="9">
        <f t="shared" si="13"/>
        <v>0.17613356319995177</v>
      </c>
      <c r="Y37">
        <f t="shared" si="14"/>
        <v>12.431934397909631</v>
      </c>
      <c r="Z37" s="47">
        <f t="shared" si="15"/>
        <v>34.774641672474495</v>
      </c>
      <c r="AA37">
        <f t="shared" si="16"/>
        <v>-0.35097466938979949</v>
      </c>
      <c r="AB37" s="9">
        <f t="shared" si="17"/>
        <v>0.35097466938979949</v>
      </c>
      <c r="AC37" s="78">
        <f t="shared" si="18"/>
        <v>12</v>
      </c>
      <c r="AD37" s="34">
        <v>15</v>
      </c>
      <c r="AE37">
        <f t="shared" si="19"/>
        <v>16.5</v>
      </c>
      <c r="AF37" s="34">
        <f t="shared" si="20"/>
        <v>13.5</v>
      </c>
      <c r="AG37" s="1">
        <f t="shared" si="21"/>
        <v>14</v>
      </c>
    </row>
    <row r="38" spans="1:33" x14ac:dyDescent="0.25">
      <c r="A38" s="8" t="s">
        <v>46</v>
      </c>
      <c r="B38" s="57">
        <v>23</v>
      </c>
      <c r="C38" s="51">
        <v>22.973955112154581</v>
      </c>
      <c r="D38" s="52">
        <v>21</v>
      </c>
      <c r="E38" s="51">
        <v>26.994399701352979</v>
      </c>
      <c r="F38" s="57">
        <f t="shared" si="4"/>
        <v>528.40096757955541</v>
      </c>
      <c r="G38" s="53">
        <f t="shared" si="0"/>
        <v>566.88239372841258</v>
      </c>
      <c r="H38" s="58">
        <f t="shared" si="1"/>
        <v>1095.2833613079679</v>
      </c>
      <c r="I38" s="59">
        <f t="shared" si="5"/>
        <v>5.0825886420122202E-2</v>
      </c>
      <c r="J38" s="54">
        <f t="shared" si="2"/>
        <v>12.028345707859664</v>
      </c>
      <c r="K38" s="27">
        <v>32</v>
      </c>
      <c r="L38" s="28" t="s">
        <v>103</v>
      </c>
      <c r="M38" s="61">
        <v>434.5</v>
      </c>
      <c r="N38" s="52">
        <v>525</v>
      </c>
      <c r="O38" s="61">
        <f t="shared" si="6"/>
        <v>959.5</v>
      </c>
      <c r="P38" s="62">
        <f t="shared" si="7"/>
        <v>2.1015857718591203E-2</v>
      </c>
      <c r="Q38" s="62">
        <f t="shared" si="3"/>
        <v>4.9735679944054407</v>
      </c>
      <c r="R38" s="54">
        <f t="shared" si="8"/>
        <v>17.001913702265107</v>
      </c>
      <c r="S38" s="32">
        <v>281</v>
      </c>
      <c r="T38" s="47">
        <f t="shared" si="9"/>
        <v>24.20201238756599</v>
      </c>
      <c r="U38">
        <f t="shared" si="10"/>
        <v>98.702981920638635</v>
      </c>
      <c r="V38" s="47">
        <f t="shared" si="11"/>
        <v>24.675745480159659</v>
      </c>
      <c r="W38" s="14">
        <f t="shared" si="12"/>
        <v>7.6738317778945522</v>
      </c>
      <c r="X38" s="9">
        <f t="shared" si="13"/>
        <v>4.4813923443310379</v>
      </c>
      <c r="Y38">
        <f t="shared" si="14"/>
        <v>21.483306046596145</v>
      </c>
      <c r="Z38" s="47">
        <f t="shared" si="15"/>
        <v>30.581218571667108</v>
      </c>
      <c r="AA38">
        <f t="shared" si="16"/>
        <v>-4.544397770197186</v>
      </c>
      <c r="AB38" s="9">
        <f t="shared" si="17"/>
        <v>4.544397770197186</v>
      </c>
      <c r="AC38" s="78">
        <v>22</v>
      </c>
      <c r="AD38" s="34">
        <v>21</v>
      </c>
      <c r="AE38">
        <f t="shared" si="19"/>
        <v>23.1</v>
      </c>
      <c r="AF38" s="34">
        <f t="shared" si="20"/>
        <v>18.900000000000002</v>
      </c>
      <c r="AG38" s="1">
        <f t="shared" si="21"/>
        <v>22</v>
      </c>
    </row>
    <row r="39" spans="1:33" x14ac:dyDescent="0.25">
      <c r="A39" s="8" t="s">
        <v>47</v>
      </c>
      <c r="B39" s="57">
        <v>14</v>
      </c>
      <c r="C39" s="51">
        <v>24.640140919962704</v>
      </c>
      <c r="D39" s="52">
        <v>16</v>
      </c>
      <c r="E39" s="51">
        <v>26.011020732088827</v>
      </c>
      <c r="F39" s="57">
        <f t="shared" si="4"/>
        <v>344.96197287947786</v>
      </c>
      <c r="G39" s="53">
        <f t="shared" si="0"/>
        <v>416.17633171342123</v>
      </c>
      <c r="H39" s="58">
        <f t="shared" si="1"/>
        <v>761.13830459289909</v>
      </c>
      <c r="I39" s="59">
        <f t="shared" si="5"/>
        <v>3.532011019782634E-2</v>
      </c>
      <c r="J39" s="54">
        <f t="shared" si="2"/>
        <v>8.358781829940849</v>
      </c>
      <c r="K39" s="27">
        <v>32</v>
      </c>
      <c r="L39" s="28" t="s">
        <v>103</v>
      </c>
      <c r="M39" s="61">
        <v>434.5</v>
      </c>
      <c r="N39" s="52">
        <v>525</v>
      </c>
      <c r="O39" s="61">
        <f t="shared" si="6"/>
        <v>959.5</v>
      </c>
      <c r="P39" s="62">
        <f t="shared" si="7"/>
        <v>2.1015857718591203E-2</v>
      </c>
      <c r="Q39" s="62">
        <f t="shared" si="3"/>
        <v>4.9735679944054407</v>
      </c>
      <c r="R39" s="54">
        <f t="shared" si="8"/>
        <v>13.33234982434629</v>
      </c>
      <c r="S39" s="32">
        <v>140</v>
      </c>
      <c r="T39" s="47">
        <f t="shared" si="9"/>
        <v>38.092428069560832</v>
      </c>
      <c r="U39">
        <f t="shared" si="10"/>
        <v>49.175862878609998</v>
      </c>
      <c r="V39" s="47">
        <f t="shared" si="11"/>
        <v>12.293965719652499</v>
      </c>
      <c r="W39" s="14">
        <f t="shared" si="12"/>
        <v>0</v>
      </c>
      <c r="X39" s="9">
        <f t="shared" si="13"/>
        <v>0</v>
      </c>
      <c r="Y39">
        <f t="shared" si="14"/>
        <v>13.33234982434629</v>
      </c>
      <c r="Z39" s="47">
        <f t="shared" si="15"/>
        <v>38.092428069560832</v>
      </c>
      <c r="AA39">
        <f t="shared" si="16"/>
        <v>2.9668117276965376</v>
      </c>
      <c r="AB39" s="9" t="str">
        <f t="shared" si="17"/>
        <v/>
      </c>
      <c r="AC39" s="78">
        <f t="shared" si="18"/>
        <v>13</v>
      </c>
      <c r="AD39" s="34">
        <v>16</v>
      </c>
      <c r="AE39">
        <f t="shared" si="19"/>
        <v>17.600000000000001</v>
      </c>
      <c r="AF39" s="34">
        <f t="shared" si="20"/>
        <v>14.4</v>
      </c>
      <c r="AG39" s="1">
        <f t="shared" si="21"/>
        <v>14</v>
      </c>
    </row>
    <row r="40" spans="1:33" x14ac:dyDescent="0.25">
      <c r="A40" s="8" t="s">
        <v>48</v>
      </c>
      <c r="B40" s="57">
        <v>13</v>
      </c>
      <c r="C40" s="51">
        <v>18.22691686160751</v>
      </c>
      <c r="D40" s="52">
        <v>12</v>
      </c>
      <c r="E40" s="51">
        <v>27.428788855558565</v>
      </c>
      <c r="F40" s="57">
        <f t="shared" si="4"/>
        <v>236.94991920089763</v>
      </c>
      <c r="G40" s="53">
        <f t="shared" si="0"/>
        <v>329.14546626670278</v>
      </c>
      <c r="H40" s="58">
        <f t="shared" si="1"/>
        <v>566.09538546760041</v>
      </c>
      <c r="I40" s="59">
        <f t="shared" si="5"/>
        <v>2.626927494851395E-2</v>
      </c>
      <c r="J40" s="54">
        <f t="shared" si="2"/>
        <v>6.2168304938887768</v>
      </c>
      <c r="K40" s="27">
        <v>23</v>
      </c>
      <c r="L40" s="28" t="s">
        <v>104</v>
      </c>
      <c r="M40" s="61">
        <v>470</v>
      </c>
      <c r="N40" s="52">
        <v>539</v>
      </c>
      <c r="O40" s="61">
        <f t="shared" si="6"/>
        <v>1009</v>
      </c>
      <c r="P40" s="62">
        <f t="shared" si="7"/>
        <v>2.2100052567022955E-2</v>
      </c>
      <c r="Q40" s="62">
        <f t="shared" si="3"/>
        <v>5.2301512312194784</v>
      </c>
      <c r="R40" s="54">
        <f t="shared" si="8"/>
        <v>11.446981725108255</v>
      </c>
      <c r="S40" s="32">
        <v>185</v>
      </c>
      <c r="T40" s="47">
        <f t="shared" si="9"/>
        <v>24.75023075699082</v>
      </c>
      <c r="U40">
        <f t="shared" si="10"/>
        <v>64.982390232448921</v>
      </c>
      <c r="V40" s="47">
        <f t="shared" si="11"/>
        <v>16.24559755811223</v>
      </c>
      <c r="W40" s="14">
        <f t="shared" si="12"/>
        <v>4.798615833003975</v>
      </c>
      <c r="X40" s="9">
        <f t="shared" si="13"/>
        <v>2.802313222366446</v>
      </c>
      <c r="Y40">
        <f t="shared" si="14"/>
        <v>14.249294947474702</v>
      </c>
      <c r="Z40" s="47">
        <f t="shared" si="15"/>
        <v>30.809286372918276</v>
      </c>
      <c r="AA40">
        <f t="shared" si="16"/>
        <v>-4.3163299689460182</v>
      </c>
      <c r="AB40" s="9">
        <f t="shared" si="17"/>
        <v>4.3163299689460182</v>
      </c>
      <c r="AC40" s="78">
        <f t="shared" si="18"/>
        <v>14</v>
      </c>
      <c r="AD40" s="34">
        <v>12</v>
      </c>
      <c r="AE40">
        <f t="shared" si="19"/>
        <v>13.200000000000001</v>
      </c>
      <c r="AF40" s="34">
        <f t="shared" si="20"/>
        <v>10.8</v>
      </c>
      <c r="AG40" s="1">
        <f t="shared" si="21"/>
        <v>13</v>
      </c>
    </row>
    <row r="41" spans="1:33" x14ac:dyDescent="0.25">
      <c r="A41" s="8" t="s">
        <v>49</v>
      </c>
      <c r="B41" s="57">
        <v>6</v>
      </c>
      <c r="C41" s="51">
        <v>19.702354259941369</v>
      </c>
      <c r="D41" s="52">
        <v>8</v>
      </c>
      <c r="E41" s="51">
        <v>20.399223158429066</v>
      </c>
      <c r="F41" s="57">
        <f t="shared" si="4"/>
        <v>118.21412555964821</v>
      </c>
      <c r="G41" s="53">
        <f t="shared" si="0"/>
        <v>163.19378526743253</v>
      </c>
      <c r="H41" s="58">
        <f t="shared" si="1"/>
        <v>281.40791082708074</v>
      </c>
      <c r="I41" s="59">
        <f t="shared" si="5"/>
        <v>1.3058544499699992E-2</v>
      </c>
      <c r="J41" s="54">
        <f t="shared" si="2"/>
        <v>3.0904072461326524</v>
      </c>
      <c r="K41" s="27">
        <v>15</v>
      </c>
      <c r="L41" s="28" t="s">
        <v>105</v>
      </c>
      <c r="M41" s="62">
        <v>406</v>
      </c>
      <c r="N41" s="52">
        <v>434</v>
      </c>
      <c r="O41" s="61">
        <f t="shared" si="6"/>
        <v>840</v>
      </c>
      <c r="P41" s="62">
        <f t="shared" si="7"/>
        <v>1.8398458033993342E-2</v>
      </c>
      <c r="Q41" s="62">
        <f t="shared" si="3"/>
        <v>4.3541397762382186</v>
      </c>
      <c r="R41" s="54">
        <f t="shared" si="8"/>
        <v>7.4445470223708714</v>
      </c>
      <c r="S41" s="32">
        <v>159</v>
      </c>
      <c r="T41" s="47">
        <f t="shared" si="9"/>
        <v>18.728420182065086</v>
      </c>
      <c r="U41">
        <f t="shared" si="10"/>
        <v>55.849729983564217</v>
      </c>
      <c r="V41" s="47">
        <f t="shared" si="11"/>
        <v>13.962432495891054</v>
      </c>
      <c r="W41" s="14">
        <f t="shared" si="12"/>
        <v>6.5178854735201828</v>
      </c>
      <c r="X41" s="9">
        <f t="shared" si="13"/>
        <v>3.8063385942861876</v>
      </c>
      <c r="Y41">
        <f t="shared" si="14"/>
        <v>11.250885616657058</v>
      </c>
      <c r="Z41" s="47">
        <f t="shared" si="15"/>
        <v>28.304114758885678</v>
      </c>
      <c r="AA41">
        <f t="shared" si="16"/>
        <v>-6.8215015829786161</v>
      </c>
      <c r="AB41" s="9">
        <f t="shared" si="17"/>
        <v>6.8215015829786161</v>
      </c>
      <c r="AC41" s="78">
        <f t="shared" si="18"/>
        <v>11</v>
      </c>
      <c r="AD41" s="34">
        <v>8</v>
      </c>
      <c r="AE41">
        <f t="shared" si="19"/>
        <v>8.8000000000000007</v>
      </c>
      <c r="AF41" s="34">
        <f t="shared" si="20"/>
        <v>7.2</v>
      </c>
      <c r="AG41" s="1">
        <f t="shared" si="21"/>
        <v>9</v>
      </c>
    </row>
    <row r="42" spans="1:33" x14ac:dyDescent="0.25">
      <c r="A42" s="8" t="s">
        <v>50</v>
      </c>
      <c r="B42" s="57">
        <v>7</v>
      </c>
      <c r="C42" s="51">
        <v>18.804794150193711</v>
      </c>
      <c r="D42" s="52">
        <v>6</v>
      </c>
      <c r="E42" s="51">
        <v>24.210170086189368</v>
      </c>
      <c r="F42" s="57">
        <f t="shared" si="4"/>
        <v>131.63355905135597</v>
      </c>
      <c r="G42" s="53">
        <f t="shared" si="0"/>
        <v>145.26102051713622</v>
      </c>
      <c r="H42" s="58">
        <f t="shared" si="1"/>
        <v>276.89457956849219</v>
      </c>
      <c r="I42" s="59">
        <f t="shared" si="5"/>
        <v>1.2849106403560679E-2</v>
      </c>
      <c r="J42" s="54">
        <f t="shared" si="2"/>
        <v>3.0408420736940216</v>
      </c>
      <c r="K42" s="27">
        <v>18</v>
      </c>
      <c r="L42" s="28" t="s">
        <v>106</v>
      </c>
      <c r="M42" s="62">
        <v>260</v>
      </c>
      <c r="N42" s="52">
        <v>306</v>
      </c>
      <c r="O42" s="61">
        <f t="shared" si="6"/>
        <v>566</v>
      </c>
      <c r="P42" s="62">
        <f t="shared" si="7"/>
        <v>1.239705624671456E-2</v>
      </c>
      <c r="Q42" s="62">
        <f t="shared" si="3"/>
        <v>2.9338608492271798</v>
      </c>
      <c r="R42" s="54">
        <f t="shared" si="8"/>
        <v>5.9747029229212014</v>
      </c>
      <c r="S42" s="32">
        <v>84</v>
      </c>
      <c r="T42" s="47">
        <f t="shared" si="9"/>
        <v>28.450966299624771</v>
      </c>
      <c r="U42">
        <f t="shared" si="10"/>
        <v>29.505517727166001</v>
      </c>
      <c r="V42" s="47">
        <f t="shared" si="11"/>
        <v>7.3763794317915004</v>
      </c>
      <c r="W42" s="14">
        <f t="shared" si="12"/>
        <v>1.4016765088702989</v>
      </c>
      <c r="X42" s="9">
        <f t="shared" si="13"/>
        <v>0.81855617348487675</v>
      </c>
      <c r="Y42">
        <f t="shared" si="14"/>
        <v>6.7932590964060786</v>
      </c>
      <c r="Z42" s="47">
        <f t="shared" si="15"/>
        <v>32.348852840028947</v>
      </c>
      <c r="AA42">
        <f t="shared" si="16"/>
        <v>-2.7767635018353474</v>
      </c>
      <c r="AB42" s="9">
        <f t="shared" si="17"/>
        <v>2.7767635018353474</v>
      </c>
      <c r="AC42" s="78">
        <f t="shared" si="18"/>
        <v>7</v>
      </c>
      <c r="AD42" s="34">
        <v>6</v>
      </c>
      <c r="AE42">
        <f t="shared" si="19"/>
        <v>6.6000000000000005</v>
      </c>
      <c r="AF42" s="34">
        <f t="shared" si="20"/>
        <v>5.4</v>
      </c>
      <c r="AG42" s="1">
        <f t="shared" si="21"/>
        <v>7</v>
      </c>
    </row>
    <row r="43" spans="1:33" x14ac:dyDescent="0.25">
      <c r="A43" s="8" t="s">
        <v>51</v>
      </c>
      <c r="B43" s="57">
        <v>3</v>
      </c>
      <c r="C43" s="51">
        <v>16.366490622545278</v>
      </c>
      <c r="D43" s="52">
        <v>5</v>
      </c>
      <c r="E43" s="51">
        <v>10.127988168890163</v>
      </c>
      <c r="F43" s="57">
        <f t="shared" si="4"/>
        <v>49.099471867635835</v>
      </c>
      <c r="G43" s="53">
        <f t="shared" si="0"/>
        <v>50.639940844450813</v>
      </c>
      <c r="H43" s="58">
        <f t="shared" si="1"/>
        <v>99.739412712086647</v>
      </c>
      <c r="I43" s="59">
        <f t="shared" si="5"/>
        <v>4.628340246181124E-3</v>
      </c>
      <c r="J43" s="54">
        <f t="shared" si="2"/>
        <v>1.0953331157767343</v>
      </c>
      <c r="K43" s="27">
        <v>30</v>
      </c>
      <c r="L43" s="28" t="s">
        <v>107</v>
      </c>
      <c r="M43" s="61">
        <v>321</v>
      </c>
      <c r="N43" s="52">
        <v>387</v>
      </c>
      <c r="O43" s="61">
        <f t="shared" si="6"/>
        <v>708</v>
      </c>
      <c r="P43" s="62">
        <f t="shared" si="7"/>
        <v>1.5507271771508674E-2</v>
      </c>
      <c r="Q43" s="62">
        <f t="shared" si="3"/>
        <v>3.6699178114007838</v>
      </c>
      <c r="R43" s="54">
        <f t="shared" si="8"/>
        <v>4.7652509271775179</v>
      </c>
      <c r="S43" s="32">
        <v>41</v>
      </c>
      <c r="T43" s="47">
        <f t="shared" si="9"/>
        <v>46.490252948073348</v>
      </c>
      <c r="U43">
        <f t="shared" si="10"/>
        <v>14.401502700164357</v>
      </c>
      <c r="V43" s="47">
        <f t="shared" si="11"/>
        <v>3.6003756750410894</v>
      </c>
      <c r="W43" s="14">
        <f t="shared" si="12"/>
        <v>0</v>
      </c>
      <c r="X43" s="9">
        <f t="shared" si="13"/>
        <v>0</v>
      </c>
      <c r="Y43">
        <f t="shared" si="14"/>
        <v>4.7652509271775179</v>
      </c>
      <c r="Z43" s="47">
        <f t="shared" si="15"/>
        <v>46.490252948073348</v>
      </c>
      <c r="AA43">
        <f t="shared" si="16"/>
        <v>11.364636606209054</v>
      </c>
      <c r="AB43" s="9" t="str">
        <f t="shared" si="17"/>
        <v/>
      </c>
      <c r="AC43" s="78">
        <f t="shared" si="18"/>
        <v>5</v>
      </c>
      <c r="AD43" s="34">
        <v>5</v>
      </c>
      <c r="AE43">
        <f t="shared" si="19"/>
        <v>5.5</v>
      </c>
      <c r="AF43" s="34">
        <f t="shared" si="20"/>
        <v>4.5</v>
      </c>
      <c r="AG43" s="1">
        <f t="shared" si="21"/>
        <v>5</v>
      </c>
    </row>
    <row r="44" spans="1:33" x14ac:dyDescent="0.25">
      <c r="A44" s="8" t="s">
        <v>52</v>
      </c>
      <c r="B44" s="57">
        <v>5</v>
      </c>
      <c r="C44" s="51">
        <v>17.015886796742986</v>
      </c>
      <c r="D44" s="52">
        <v>8</v>
      </c>
      <c r="E44" s="51">
        <v>16.237497264123842</v>
      </c>
      <c r="F44" s="57">
        <f t="shared" si="4"/>
        <v>85.079433983714935</v>
      </c>
      <c r="G44" s="53">
        <f t="shared" si="0"/>
        <v>129.89997811299074</v>
      </c>
      <c r="H44" s="58">
        <f t="shared" si="1"/>
        <v>214.97941209670569</v>
      </c>
      <c r="I44" s="59">
        <f t="shared" si="5"/>
        <v>9.9759747731797497E-3</v>
      </c>
      <c r="J44" s="54">
        <f t="shared" si="2"/>
        <v>2.3608928795226394</v>
      </c>
      <c r="K44" s="27">
        <v>27</v>
      </c>
      <c r="L44" s="28" t="s">
        <v>108</v>
      </c>
      <c r="M44" s="61">
        <v>440</v>
      </c>
      <c r="N44" s="52">
        <v>574</v>
      </c>
      <c r="O44" s="61">
        <f t="shared" si="6"/>
        <v>1014</v>
      </c>
      <c r="P44" s="62">
        <f t="shared" si="7"/>
        <v>2.2209567198177675E-2</v>
      </c>
      <c r="Q44" s="62">
        <f t="shared" si="3"/>
        <v>5.2560687298875628</v>
      </c>
      <c r="R44" s="54">
        <f t="shared" si="8"/>
        <v>7.6169616094102022</v>
      </c>
      <c r="S44" s="32">
        <v>88</v>
      </c>
      <c r="T44" s="47">
        <f t="shared" si="9"/>
        <v>34.622552770046369</v>
      </c>
      <c r="U44">
        <f t="shared" si="10"/>
        <v>30.910542380840571</v>
      </c>
      <c r="V44" s="47">
        <f t="shared" si="11"/>
        <v>7.7276355952101428</v>
      </c>
      <c r="W44" s="14">
        <f t="shared" si="12"/>
        <v>0.11067398579994059</v>
      </c>
      <c r="X44" s="9">
        <f t="shared" si="13"/>
        <v>6.4631798954620109E-2</v>
      </c>
      <c r="Y44">
        <f t="shared" si="14"/>
        <v>7.6815934083648223</v>
      </c>
      <c r="Z44" s="47">
        <f t="shared" si="15"/>
        <v>34.916333674385555</v>
      </c>
      <c r="AA44">
        <f t="shared" si="16"/>
        <v>-0.20928266747873892</v>
      </c>
      <c r="AB44" s="9">
        <f t="shared" si="17"/>
        <v>0.20928266747873892</v>
      </c>
      <c r="AC44" s="78">
        <f t="shared" si="18"/>
        <v>8</v>
      </c>
      <c r="AD44" s="34">
        <v>8</v>
      </c>
      <c r="AE44">
        <f t="shared" si="19"/>
        <v>8.8000000000000007</v>
      </c>
      <c r="AF44" s="34">
        <f t="shared" si="20"/>
        <v>7.2</v>
      </c>
      <c r="AG44" s="1">
        <f t="shared" si="21"/>
        <v>8</v>
      </c>
    </row>
    <row r="45" spans="1:33" x14ac:dyDescent="0.25">
      <c r="A45" s="8" t="s">
        <v>53</v>
      </c>
      <c r="B45" s="57">
        <v>7</v>
      </c>
      <c r="C45" s="51">
        <v>19.493008031887349</v>
      </c>
      <c r="D45" s="52">
        <v>8</v>
      </c>
      <c r="E45" s="51">
        <v>25.986155381305924</v>
      </c>
      <c r="F45" s="57">
        <f t="shared" si="4"/>
        <v>136.45105622321145</v>
      </c>
      <c r="G45" s="53">
        <f t="shared" si="0"/>
        <v>207.88924305044739</v>
      </c>
      <c r="H45" s="58">
        <f t="shared" si="1"/>
        <v>344.34029927365884</v>
      </c>
      <c r="I45" s="59">
        <f t="shared" si="5"/>
        <v>1.5978879584050296E-2</v>
      </c>
      <c r="J45" s="54">
        <f t="shared" si="2"/>
        <v>3.7815275088862026</v>
      </c>
      <c r="K45" s="27">
        <v>34</v>
      </c>
      <c r="L45" s="28" t="s">
        <v>109</v>
      </c>
      <c r="M45" s="61">
        <v>393</v>
      </c>
      <c r="N45" s="52">
        <v>501</v>
      </c>
      <c r="O45" s="61">
        <f t="shared" si="6"/>
        <v>894</v>
      </c>
      <c r="P45" s="62">
        <f t="shared" si="7"/>
        <v>1.9581216050464343E-2</v>
      </c>
      <c r="Q45" s="62">
        <f t="shared" si="3"/>
        <v>4.6340487618535322</v>
      </c>
      <c r="R45" s="54">
        <f t="shared" si="8"/>
        <v>8.4155762707397344</v>
      </c>
      <c r="S45" s="32">
        <v>78</v>
      </c>
      <c r="T45" s="47">
        <f t="shared" si="9"/>
        <v>43.156801388408894</v>
      </c>
      <c r="U45">
        <f t="shared" si="10"/>
        <v>27.397980746654142</v>
      </c>
      <c r="V45" s="47">
        <f t="shared" si="11"/>
        <v>6.8494951866635354</v>
      </c>
      <c r="W45" s="14">
        <f t="shared" si="12"/>
        <v>0</v>
      </c>
      <c r="X45" s="9">
        <f t="shared" si="13"/>
        <v>0</v>
      </c>
      <c r="Y45">
        <f t="shared" si="14"/>
        <v>8.4155762707397344</v>
      </c>
      <c r="Z45" s="47">
        <f t="shared" si="15"/>
        <v>43.156801388408894</v>
      </c>
      <c r="AA45">
        <f t="shared" si="16"/>
        <v>8.0311850465446</v>
      </c>
      <c r="AB45" s="9" t="str">
        <f t="shared" si="17"/>
        <v/>
      </c>
      <c r="AC45" s="78">
        <f t="shared" si="18"/>
        <v>8</v>
      </c>
      <c r="AD45" s="34">
        <v>8</v>
      </c>
      <c r="AE45">
        <f t="shared" si="19"/>
        <v>8.8000000000000007</v>
      </c>
      <c r="AF45" s="34">
        <f t="shared" si="20"/>
        <v>7.2</v>
      </c>
      <c r="AG45" s="1">
        <f t="shared" si="21"/>
        <v>8</v>
      </c>
    </row>
    <row r="46" spans="1:33" x14ac:dyDescent="0.25">
      <c r="A46" s="8" t="s">
        <v>54</v>
      </c>
      <c r="B46" s="57">
        <v>19</v>
      </c>
      <c r="C46" s="51">
        <v>20.070649103060678</v>
      </c>
      <c r="D46" s="52">
        <v>17</v>
      </c>
      <c r="E46" s="51">
        <v>25.095472362644156</v>
      </c>
      <c r="F46" s="57">
        <f t="shared" si="4"/>
        <v>381.34233295815289</v>
      </c>
      <c r="G46" s="53">
        <f t="shared" si="0"/>
        <v>426.62303016495065</v>
      </c>
      <c r="H46" s="58">
        <f t="shared" si="1"/>
        <v>807.96536312310354</v>
      </c>
      <c r="I46" s="59">
        <f t="shared" si="5"/>
        <v>3.7493088298582292E-2</v>
      </c>
      <c r="J46" s="54">
        <f t="shared" si="2"/>
        <v>8.8730341854325374</v>
      </c>
      <c r="K46" s="27">
        <v>35</v>
      </c>
      <c r="L46" s="28" t="s">
        <v>110</v>
      </c>
      <c r="M46" s="61">
        <v>644</v>
      </c>
      <c r="N46" s="52">
        <v>735</v>
      </c>
      <c r="O46" s="61">
        <f t="shared" si="6"/>
        <v>1379</v>
      </c>
      <c r="P46" s="62">
        <f t="shared" si="7"/>
        <v>3.0204135272472402E-2</v>
      </c>
      <c r="Q46" s="62">
        <f t="shared" si="3"/>
        <v>7.1480461326577407</v>
      </c>
      <c r="R46" s="54">
        <f t="shared" si="8"/>
        <v>16.021080318090277</v>
      </c>
      <c r="S46" s="32">
        <v>221</v>
      </c>
      <c r="T46" s="47">
        <f t="shared" si="9"/>
        <v>28.997430439982402</v>
      </c>
      <c r="U46">
        <f t="shared" si="10"/>
        <v>77.627612115520066</v>
      </c>
      <c r="V46" s="47">
        <f t="shared" si="11"/>
        <v>19.406903028880016</v>
      </c>
      <c r="W46" s="14">
        <f t="shared" si="12"/>
        <v>3.3858227107897392</v>
      </c>
      <c r="X46" s="9">
        <f t="shared" si="13"/>
        <v>1.9772651283682852</v>
      </c>
      <c r="Y46">
        <f t="shared" si="14"/>
        <v>17.998345446458561</v>
      </c>
      <c r="Z46" s="47">
        <f t="shared" si="15"/>
        <v>32.576190853318664</v>
      </c>
      <c r="AA46">
        <f t="shared" si="16"/>
        <v>-2.54942548854563</v>
      </c>
      <c r="AB46" s="9">
        <f t="shared" si="17"/>
        <v>2.54942548854563</v>
      </c>
      <c r="AC46" s="78">
        <f t="shared" si="18"/>
        <v>18</v>
      </c>
      <c r="AD46" s="34">
        <v>17</v>
      </c>
      <c r="AE46">
        <f t="shared" si="19"/>
        <v>18.700000000000003</v>
      </c>
      <c r="AF46" s="34">
        <f t="shared" si="20"/>
        <v>15.3</v>
      </c>
      <c r="AG46" s="1">
        <f t="shared" si="21"/>
        <v>18</v>
      </c>
    </row>
    <row r="47" spans="1:33" x14ac:dyDescent="0.25">
      <c r="A47" s="8" t="s">
        <v>55</v>
      </c>
      <c r="B47" s="57">
        <v>11</v>
      </c>
      <c r="C47" s="51">
        <v>16.061381665510559</v>
      </c>
      <c r="D47" s="52">
        <v>9</v>
      </c>
      <c r="E47" s="51">
        <v>15.708811225756509</v>
      </c>
      <c r="F47" s="57">
        <f t="shared" si="4"/>
        <v>176.67519832061615</v>
      </c>
      <c r="G47" s="53">
        <f t="shared" si="0"/>
        <v>141.37930103180858</v>
      </c>
      <c r="H47" s="58">
        <f t="shared" si="1"/>
        <v>318.05449935242473</v>
      </c>
      <c r="I47" s="59">
        <f t="shared" si="5"/>
        <v>1.4759104749104137E-2</v>
      </c>
      <c r="J47" s="54">
        <f t="shared" si="2"/>
        <v>3.4928582020844781</v>
      </c>
      <c r="K47" s="27">
        <v>36</v>
      </c>
      <c r="L47" s="28" t="s">
        <v>111</v>
      </c>
      <c r="M47" s="61">
        <v>388</v>
      </c>
      <c r="N47" s="52">
        <v>462</v>
      </c>
      <c r="O47" s="61">
        <f t="shared" si="6"/>
        <v>850</v>
      </c>
      <c r="P47" s="62">
        <f t="shared" si="7"/>
        <v>1.8617487296302786E-2</v>
      </c>
      <c r="Q47" s="62">
        <f t="shared" si="3"/>
        <v>4.4059747735743873</v>
      </c>
      <c r="R47" s="54">
        <f t="shared" si="8"/>
        <v>7.8988329756588653</v>
      </c>
      <c r="S47" s="32">
        <v>125</v>
      </c>
      <c r="T47" s="47">
        <f t="shared" si="9"/>
        <v>25.276265522108371</v>
      </c>
      <c r="U47">
        <f t="shared" si="10"/>
        <v>43.907020427330359</v>
      </c>
      <c r="V47" s="47">
        <f t="shared" si="11"/>
        <v>10.97675510683259</v>
      </c>
      <c r="W47" s="14">
        <f t="shared" si="12"/>
        <v>3.0779221311737244</v>
      </c>
      <c r="X47" s="9">
        <f t="shared" si="13"/>
        <v>1.7974562219128356</v>
      </c>
      <c r="Y47">
        <f t="shared" si="14"/>
        <v>9.6962891975717014</v>
      </c>
      <c r="Z47" s="47">
        <f t="shared" si="15"/>
        <v>31.028125432229441</v>
      </c>
      <c r="AA47">
        <f t="shared" si="16"/>
        <v>-4.0974909096348533</v>
      </c>
      <c r="AB47" s="9">
        <f t="shared" si="17"/>
        <v>4.0974909096348533</v>
      </c>
      <c r="AC47" s="78">
        <f t="shared" si="18"/>
        <v>10</v>
      </c>
      <c r="AD47" s="34">
        <v>9</v>
      </c>
      <c r="AE47">
        <f t="shared" si="19"/>
        <v>9.9</v>
      </c>
      <c r="AF47" s="34">
        <f t="shared" si="20"/>
        <v>8.1</v>
      </c>
      <c r="AG47" s="1">
        <f t="shared" si="21"/>
        <v>10</v>
      </c>
    </row>
    <row r="48" spans="1:33" x14ac:dyDescent="0.25">
      <c r="A48" s="8" t="s">
        <v>56</v>
      </c>
      <c r="B48" s="57">
        <v>12</v>
      </c>
      <c r="C48" s="51">
        <v>26.976020143169158</v>
      </c>
      <c r="D48" s="52">
        <v>17</v>
      </c>
      <c r="E48" s="51">
        <v>20.917084322888066</v>
      </c>
      <c r="F48" s="57">
        <f t="shared" si="4"/>
        <v>323.71224171802987</v>
      </c>
      <c r="G48" s="53">
        <f t="shared" si="0"/>
        <v>355.59043348909711</v>
      </c>
      <c r="H48" s="58">
        <f t="shared" si="1"/>
        <v>679.30267520712698</v>
      </c>
      <c r="I48" s="59">
        <f t="shared" si="5"/>
        <v>3.1522582953996556E-2</v>
      </c>
      <c r="J48" s="54">
        <f t="shared" si="2"/>
        <v>7.4600671445494298</v>
      </c>
      <c r="K48" s="27">
        <v>37</v>
      </c>
      <c r="L48" s="28" t="s">
        <v>112</v>
      </c>
      <c r="M48" s="61">
        <v>1012</v>
      </c>
      <c r="N48" s="52">
        <v>1400</v>
      </c>
      <c r="O48" s="61">
        <f t="shared" si="6"/>
        <v>2412</v>
      </c>
      <c r="P48" s="62">
        <f t="shared" si="7"/>
        <v>5.2829858069038026E-2</v>
      </c>
      <c r="Q48" s="62">
        <f t="shared" si="3"/>
        <v>12.502601357484027</v>
      </c>
      <c r="R48" s="54">
        <f t="shared" si="8"/>
        <v>19.962668502033456</v>
      </c>
      <c r="S48" s="32">
        <v>108</v>
      </c>
      <c r="T48" s="47">
        <f t="shared" si="9"/>
        <v>73.935809266790571</v>
      </c>
      <c r="U48">
        <f t="shared" si="10"/>
        <v>37.935665649213426</v>
      </c>
      <c r="V48" s="47">
        <f t="shared" si="11"/>
        <v>9.4839164123033566</v>
      </c>
      <c r="W48" s="14">
        <f t="shared" si="12"/>
        <v>0</v>
      </c>
      <c r="X48" s="9">
        <f t="shared" si="13"/>
        <v>0</v>
      </c>
      <c r="Y48">
        <f t="shared" si="14"/>
        <v>19.962668502033456</v>
      </c>
      <c r="Z48" s="47">
        <f t="shared" si="15"/>
        <v>73.935809266790571</v>
      </c>
      <c r="AA48">
        <f t="shared" si="16"/>
        <v>38.810192924926277</v>
      </c>
      <c r="AB48" s="9" t="str">
        <f t="shared" si="17"/>
        <v/>
      </c>
      <c r="AC48" s="78">
        <f t="shared" si="18"/>
        <v>20</v>
      </c>
      <c r="AD48" s="34">
        <v>17</v>
      </c>
      <c r="AE48">
        <f t="shared" si="19"/>
        <v>18.700000000000003</v>
      </c>
      <c r="AF48" s="34">
        <f t="shared" si="20"/>
        <v>15.3</v>
      </c>
      <c r="AG48" s="1">
        <f t="shared" si="21"/>
        <v>19</v>
      </c>
    </row>
    <row r="49" spans="1:33" x14ac:dyDescent="0.25">
      <c r="A49" s="8" t="s">
        <v>57</v>
      </c>
      <c r="B49" s="57">
        <v>3</v>
      </c>
      <c r="C49" s="51">
        <v>13.720694534638296</v>
      </c>
      <c r="D49" s="52">
        <v>4</v>
      </c>
      <c r="E49" s="51">
        <v>17.344265806952318</v>
      </c>
      <c r="F49" s="57">
        <f t="shared" si="4"/>
        <v>41.162083603914887</v>
      </c>
      <c r="G49" s="53">
        <f t="shared" si="0"/>
        <v>69.377063227809273</v>
      </c>
      <c r="H49" s="58">
        <f t="shared" si="1"/>
        <v>110.53914683172417</v>
      </c>
      <c r="I49" s="59">
        <f t="shared" si="5"/>
        <v>5.1294946315419325E-3</v>
      </c>
      <c r="J49" s="54">
        <f t="shared" si="2"/>
        <v>1.2139352420692764</v>
      </c>
      <c r="K49" s="27">
        <v>38</v>
      </c>
      <c r="L49" s="28" t="s">
        <v>113</v>
      </c>
      <c r="M49" s="61">
        <v>223</v>
      </c>
      <c r="N49" s="52">
        <v>273</v>
      </c>
      <c r="O49" s="61">
        <f t="shared" si="6"/>
        <v>496</v>
      </c>
      <c r="P49" s="62">
        <f t="shared" si="7"/>
        <v>1.0863851410548448E-2</v>
      </c>
      <c r="Q49" s="62">
        <f t="shared" si="3"/>
        <v>2.5710158678739949</v>
      </c>
      <c r="R49" s="54">
        <f t="shared" si="8"/>
        <v>3.7849511099432713</v>
      </c>
      <c r="S49" s="32">
        <v>55</v>
      </c>
      <c r="T49" s="47">
        <f t="shared" si="9"/>
        <v>27.526917163223789</v>
      </c>
      <c r="U49">
        <f t="shared" si="10"/>
        <v>19.319088988025356</v>
      </c>
      <c r="V49" s="47">
        <f t="shared" si="11"/>
        <v>4.8297722470063391</v>
      </c>
      <c r="W49" s="14">
        <f t="shared" si="12"/>
        <v>1.0448211370630678</v>
      </c>
      <c r="X49" s="9">
        <f t="shared" si="13"/>
        <v>0.61015846846128519</v>
      </c>
      <c r="Y49">
        <f t="shared" si="14"/>
        <v>4.3951095784045568</v>
      </c>
      <c r="Z49" s="47">
        <f t="shared" si="15"/>
        <v>31.964433297487687</v>
      </c>
      <c r="AA49">
        <f t="shared" si="16"/>
        <v>-3.1611830443766067</v>
      </c>
      <c r="AB49" s="9">
        <f t="shared" si="17"/>
        <v>3.1611830443766067</v>
      </c>
      <c r="AC49" s="78">
        <f t="shared" si="18"/>
        <v>4</v>
      </c>
      <c r="AD49" s="34">
        <v>4</v>
      </c>
      <c r="AE49">
        <f t="shared" si="19"/>
        <v>4.4000000000000004</v>
      </c>
      <c r="AF49" s="34">
        <f t="shared" si="20"/>
        <v>3.6</v>
      </c>
      <c r="AG49" s="1">
        <f t="shared" si="21"/>
        <v>4</v>
      </c>
    </row>
    <row r="50" spans="1:33" x14ac:dyDescent="0.25">
      <c r="A50" s="8" t="s">
        <v>58</v>
      </c>
      <c r="B50" s="57">
        <v>3</v>
      </c>
      <c r="C50" s="51">
        <v>21.191400304820515</v>
      </c>
      <c r="D50" s="52">
        <v>5</v>
      </c>
      <c r="E50" s="51">
        <v>19.913792549650758</v>
      </c>
      <c r="F50" s="57">
        <f t="shared" si="4"/>
        <v>63.574200914461542</v>
      </c>
      <c r="G50" s="53">
        <f t="shared" si="0"/>
        <v>99.568962748253796</v>
      </c>
      <c r="H50" s="58">
        <f t="shared" si="1"/>
        <v>163.14316366271532</v>
      </c>
      <c r="I50" s="59">
        <f t="shared" si="5"/>
        <v>7.570548589945293E-3</v>
      </c>
      <c r="J50" s="54">
        <f t="shared" si="2"/>
        <v>1.7916298573783449</v>
      </c>
      <c r="K50" s="27">
        <v>39</v>
      </c>
      <c r="L50" s="28" t="s">
        <v>114</v>
      </c>
      <c r="M50" s="61">
        <v>255</v>
      </c>
      <c r="N50" s="52">
        <v>291</v>
      </c>
      <c r="O50" s="61">
        <f t="shared" si="6"/>
        <v>546</v>
      </c>
      <c r="P50" s="62">
        <f t="shared" si="7"/>
        <v>1.1958997722095672E-2</v>
      </c>
      <c r="Q50" s="62">
        <f t="shared" si="3"/>
        <v>2.8301908545548415</v>
      </c>
      <c r="R50" s="54">
        <f t="shared" si="8"/>
        <v>4.6218207119331867</v>
      </c>
      <c r="S50" s="32">
        <v>57</v>
      </c>
      <c r="T50" s="47">
        <f t="shared" si="9"/>
        <v>32.433829557425867</v>
      </c>
      <c r="U50">
        <f t="shared" si="10"/>
        <v>20.021601314862643</v>
      </c>
      <c r="V50" s="47">
        <f t="shared" si="11"/>
        <v>5.0054003287156608</v>
      </c>
      <c r="W50" s="14">
        <f t="shared" si="12"/>
        <v>0.3835796167824741</v>
      </c>
      <c r="X50" s="9">
        <f t="shared" si="13"/>
        <v>0.22400422733296374</v>
      </c>
      <c r="Y50">
        <f t="shared" si="14"/>
        <v>4.8458249392661505</v>
      </c>
      <c r="Z50" s="47">
        <f t="shared" si="15"/>
        <v>34.005789047481763</v>
      </c>
      <c r="AA50">
        <f t="shared" si="16"/>
        <v>-1.1198272943825316</v>
      </c>
      <c r="AB50" s="9">
        <f t="shared" si="17"/>
        <v>1.1198272943825316</v>
      </c>
      <c r="AC50" s="78">
        <f t="shared" si="18"/>
        <v>5</v>
      </c>
      <c r="AD50" s="34">
        <v>5</v>
      </c>
      <c r="AE50">
        <f t="shared" si="19"/>
        <v>5.5</v>
      </c>
      <c r="AF50" s="34">
        <f t="shared" si="20"/>
        <v>4.5</v>
      </c>
      <c r="AG50" s="1">
        <f t="shared" si="21"/>
        <v>5</v>
      </c>
    </row>
    <row r="51" spans="1:33" x14ac:dyDescent="0.25">
      <c r="A51" s="8" t="s">
        <v>59</v>
      </c>
      <c r="B51" s="57">
        <v>3</v>
      </c>
      <c r="C51" s="51">
        <v>8.6232161004378796</v>
      </c>
      <c r="D51" s="52">
        <v>3</v>
      </c>
      <c r="E51" s="51">
        <v>17.677434573147881</v>
      </c>
      <c r="F51" s="57">
        <f t="shared" si="4"/>
        <v>25.869648301313639</v>
      </c>
      <c r="G51" s="53">
        <f t="shared" si="0"/>
        <v>53.032303719443647</v>
      </c>
      <c r="H51" s="58">
        <f t="shared" si="1"/>
        <v>78.901952020757278</v>
      </c>
      <c r="I51" s="59">
        <f t="shared" si="5"/>
        <v>3.661391922309454E-3</v>
      </c>
      <c r="J51" s="54">
        <f t="shared" si="2"/>
        <v>0.86649719100751654</v>
      </c>
      <c r="K51" s="27">
        <v>40</v>
      </c>
      <c r="L51" s="28" t="s">
        <v>115</v>
      </c>
      <c r="M51" s="63">
        <v>190</v>
      </c>
      <c r="N51" s="52">
        <v>219</v>
      </c>
      <c r="O51" s="61">
        <f t="shared" si="6"/>
        <v>409</v>
      </c>
      <c r="P51" s="62">
        <f t="shared" si="7"/>
        <v>8.958296828456282E-3</v>
      </c>
      <c r="Q51" s="62">
        <f t="shared" si="3"/>
        <v>2.1200513910493228</v>
      </c>
      <c r="R51" s="54">
        <f t="shared" si="8"/>
        <v>2.9865485820568392</v>
      </c>
      <c r="S51" s="32">
        <v>9</v>
      </c>
      <c r="T51" s="47">
        <f t="shared" si="9"/>
        <v>132.73549253585952</v>
      </c>
      <c r="U51">
        <f t="shared" si="10"/>
        <v>3.1613054707677857</v>
      </c>
      <c r="V51" s="47">
        <f t="shared" si="11"/>
        <v>0.79032636769194642</v>
      </c>
      <c r="W51" s="14">
        <f t="shared" si="12"/>
        <v>0</v>
      </c>
      <c r="X51" s="9">
        <f t="shared" si="13"/>
        <v>0</v>
      </c>
      <c r="Y51">
        <f t="shared" si="14"/>
        <v>2.9865485820568392</v>
      </c>
      <c r="Z51" s="47">
        <f t="shared" si="15"/>
        <v>132.73549253585952</v>
      </c>
      <c r="AA51">
        <f t="shared" si="16"/>
        <v>97.609876193995234</v>
      </c>
      <c r="AB51" s="9" t="str">
        <f t="shared" si="17"/>
        <v/>
      </c>
      <c r="AC51" s="78">
        <f t="shared" si="18"/>
        <v>3</v>
      </c>
      <c r="AD51" s="34">
        <v>3</v>
      </c>
      <c r="AE51">
        <f t="shared" si="19"/>
        <v>3.3000000000000003</v>
      </c>
      <c r="AF51" s="34">
        <f t="shared" si="20"/>
        <v>2.7</v>
      </c>
      <c r="AG51" s="1">
        <f t="shared" si="21"/>
        <v>3</v>
      </c>
    </row>
    <row r="52" spans="1:33" x14ac:dyDescent="0.25">
      <c r="A52" s="8" t="s">
        <v>60</v>
      </c>
      <c r="B52" s="57">
        <v>4</v>
      </c>
      <c r="C52" s="51">
        <v>14.229910573783965</v>
      </c>
      <c r="D52" s="52">
        <v>5</v>
      </c>
      <c r="E52" s="51">
        <v>18.571964184278613</v>
      </c>
      <c r="F52" s="57">
        <f t="shared" si="4"/>
        <v>56.919642295135858</v>
      </c>
      <c r="G52" s="53">
        <f t="shared" si="0"/>
        <v>92.859820921393066</v>
      </c>
      <c r="H52" s="58">
        <f t="shared" si="1"/>
        <v>149.77946321652894</v>
      </c>
      <c r="I52" s="59">
        <f t="shared" si="5"/>
        <v>6.9504150747065592E-3</v>
      </c>
      <c r="J52" s="54">
        <f t="shared" si="2"/>
        <v>1.6448703843675874</v>
      </c>
      <c r="K52" s="27">
        <v>41</v>
      </c>
      <c r="L52" s="28" t="s">
        <v>116</v>
      </c>
      <c r="M52" s="61">
        <v>302</v>
      </c>
      <c r="N52" s="52">
        <v>312</v>
      </c>
      <c r="O52" s="61">
        <f t="shared" si="6"/>
        <v>614</v>
      </c>
      <c r="P52" s="62">
        <f t="shared" si="7"/>
        <v>1.3448396705799896E-2</v>
      </c>
      <c r="Q52" s="62">
        <f t="shared" si="3"/>
        <v>3.1826688364407927</v>
      </c>
      <c r="R52" s="54">
        <f t="shared" si="8"/>
        <v>4.8275392208083803</v>
      </c>
      <c r="S52" s="32">
        <v>65</v>
      </c>
      <c r="T52" s="47">
        <f t="shared" si="9"/>
        <v>29.70793366651311</v>
      </c>
      <c r="U52">
        <f t="shared" si="10"/>
        <v>22.831650622211786</v>
      </c>
      <c r="V52" s="47">
        <f t="shared" si="11"/>
        <v>5.7079126555529465</v>
      </c>
      <c r="W52" s="14">
        <f t="shared" si="12"/>
        <v>0.8803734347445662</v>
      </c>
      <c r="X52" s="9">
        <f t="shared" si="13"/>
        <v>0.51412369788736489</v>
      </c>
      <c r="Y52">
        <f t="shared" si="14"/>
        <v>5.3416629186957447</v>
      </c>
      <c r="Z52" s="47">
        <f t="shared" si="15"/>
        <v>32.871771807358428</v>
      </c>
      <c r="AA52">
        <f t="shared" si="16"/>
        <v>-2.2538445345058662</v>
      </c>
      <c r="AB52" s="9">
        <f t="shared" si="17"/>
        <v>2.2538445345058662</v>
      </c>
      <c r="AC52" s="78">
        <f t="shared" si="18"/>
        <v>5</v>
      </c>
      <c r="AD52" s="34">
        <v>5</v>
      </c>
      <c r="AE52">
        <f t="shared" si="19"/>
        <v>5.5</v>
      </c>
      <c r="AF52" s="34">
        <f t="shared" si="20"/>
        <v>4.5</v>
      </c>
      <c r="AG52" s="1">
        <f t="shared" si="21"/>
        <v>5</v>
      </c>
    </row>
    <row r="53" spans="1:33" x14ac:dyDescent="0.25">
      <c r="A53" s="8" t="s">
        <v>61</v>
      </c>
      <c r="B53" s="57">
        <v>7</v>
      </c>
      <c r="C53" s="51">
        <v>19.546294193849242</v>
      </c>
      <c r="D53" s="52">
        <v>7</v>
      </c>
      <c r="E53" s="51">
        <v>33.897249353019497</v>
      </c>
      <c r="F53" s="57">
        <f>B53*C53</f>
        <v>136.8240593569447</v>
      </c>
      <c r="G53" s="53">
        <f t="shared" si="0"/>
        <v>237.28074547113647</v>
      </c>
      <c r="H53" s="58">
        <f t="shared" si="1"/>
        <v>374.10480482808117</v>
      </c>
      <c r="I53" s="59">
        <f t="shared" si="5"/>
        <v>1.7360081410081506E-2</v>
      </c>
      <c r="J53" s="54">
        <f t="shared" si="2"/>
        <v>4.1083997825639136</v>
      </c>
      <c r="K53" s="29">
        <v>42</v>
      </c>
      <c r="L53" s="30" t="s">
        <v>117</v>
      </c>
      <c r="M53" s="61">
        <v>525</v>
      </c>
      <c r="N53" s="52">
        <v>428</v>
      </c>
      <c r="O53" s="61">
        <f t="shared" si="6"/>
        <v>953</v>
      </c>
      <c r="P53" s="62">
        <f t="shared" si="7"/>
        <v>2.0873488698090064E-2</v>
      </c>
      <c r="Q53" s="62">
        <f t="shared" si="3"/>
        <v>4.9398752461369302</v>
      </c>
      <c r="R53" s="54">
        <f t="shared" si="8"/>
        <v>9.0482750287008429</v>
      </c>
      <c r="S53" s="32">
        <v>79</v>
      </c>
      <c r="T53" s="47">
        <f t="shared" si="9"/>
        <v>45.814050778232115</v>
      </c>
      <c r="U53">
        <f t="shared" si="10"/>
        <v>27.749236910072785</v>
      </c>
      <c r="V53" s="47">
        <f t="shared" si="11"/>
        <v>6.9373092275181962</v>
      </c>
      <c r="W53" s="14">
        <f t="shared" si="12"/>
        <v>0</v>
      </c>
      <c r="X53" s="9">
        <f t="shared" si="13"/>
        <v>0</v>
      </c>
      <c r="Y53">
        <f t="shared" si="14"/>
        <v>9.0482750287008429</v>
      </c>
      <c r="Z53" s="47">
        <f t="shared" si="15"/>
        <v>45.814050778232115</v>
      </c>
      <c r="AA53">
        <f t="shared" si="16"/>
        <v>10.688434436367821</v>
      </c>
      <c r="AB53" s="9" t="str">
        <f t="shared" si="17"/>
        <v/>
      </c>
      <c r="AC53" s="78">
        <f t="shared" si="18"/>
        <v>9</v>
      </c>
      <c r="AD53" s="34">
        <v>7</v>
      </c>
      <c r="AE53">
        <f t="shared" si="19"/>
        <v>7.7000000000000011</v>
      </c>
      <c r="AF53" s="34">
        <f t="shared" si="20"/>
        <v>6.3</v>
      </c>
      <c r="AG53" s="1">
        <f t="shared" si="21"/>
        <v>8</v>
      </c>
    </row>
    <row r="54" spans="1:33" x14ac:dyDescent="0.25">
      <c r="A54" s="10" t="s">
        <v>62</v>
      </c>
      <c r="B54" s="48">
        <v>3</v>
      </c>
      <c r="C54" s="51">
        <v>20.594539512176532</v>
      </c>
      <c r="D54" s="52">
        <v>15</v>
      </c>
      <c r="E54" s="51">
        <v>20.337662454495458</v>
      </c>
      <c r="F54" s="57">
        <f t="shared" si="4"/>
        <v>61.783618536529595</v>
      </c>
      <c r="G54" s="53">
        <f t="shared" si="0"/>
        <v>305.06493681743189</v>
      </c>
      <c r="H54" s="58">
        <f t="shared" si="1"/>
        <v>366.8485553539615</v>
      </c>
      <c r="I54" s="59">
        <f t="shared" si="5"/>
        <v>1.7023360042227202E-2</v>
      </c>
      <c r="J54" s="54">
        <f t="shared" si="2"/>
        <v>4.0287120229389002</v>
      </c>
      <c r="K54" s="29">
        <v>43</v>
      </c>
      <c r="L54" s="30" t="s">
        <v>118</v>
      </c>
      <c r="M54" s="61">
        <v>426</v>
      </c>
      <c r="N54" s="52">
        <v>424</v>
      </c>
      <c r="O54" s="61">
        <f t="shared" si="6"/>
        <v>850</v>
      </c>
      <c r="P54" s="62">
        <f t="shared" si="7"/>
        <v>1.8617487296302786E-2</v>
      </c>
      <c r="Q54" s="62">
        <f t="shared" si="3"/>
        <v>4.4059747735743873</v>
      </c>
      <c r="R54" s="54">
        <f t="shared" si="8"/>
        <v>8.4346867965132866</v>
      </c>
      <c r="S54" s="32">
        <v>176</v>
      </c>
      <c r="T54" s="47">
        <f t="shared" si="9"/>
        <v>19.169742719348378</v>
      </c>
      <c r="U54">
        <f t="shared" si="10"/>
        <v>61.821084761681142</v>
      </c>
      <c r="V54" s="47">
        <f t="shared" si="11"/>
        <v>15.455271190420286</v>
      </c>
      <c r="W54" s="14">
        <f t="shared" si="12"/>
        <v>7.020584393906999</v>
      </c>
      <c r="X54" s="9">
        <f t="shared" si="13"/>
        <v>4.099906548149133</v>
      </c>
      <c r="Y54">
        <f t="shared" si="14"/>
        <v>12.534593344662419</v>
      </c>
      <c r="Z54" s="47">
        <f t="shared" si="15"/>
        <v>28.487712146960043</v>
      </c>
      <c r="AA54">
        <f t="shared" si="16"/>
        <v>-6.6379041949042517</v>
      </c>
      <c r="AB54" s="9">
        <f t="shared" si="17"/>
        <v>6.6379041949042517</v>
      </c>
      <c r="AC54" s="78">
        <f t="shared" si="18"/>
        <v>13</v>
      </c>
      <c r="AD54" s="34">
        <v>15</v>
      </c>
      <c r="AE54">
        <f t="shared" si="19"/>
        <v>16.5</v>
      </c>
      <c r="AF54" s="34">
        <f t="shared" si="20"/>
        <v>13.5</v>
      </c>
      <c r="AG54" s="1">
        <f t="shared" si="21"/>
        <v>14</v>
      </c>
    </row>
    <row r="55" spans="1:33" x14ac:dyDescent="0.25">
      <c r="A55" s="10" t="s">
        <v>63</v>
      </c>
      <c r="B55" s="52">
        <v>3</v>
      </c>
      <c r="C55" s="51">
        <v>20.336533220270251</v>
      </c>
      <c r="D55" s="52">
        <v>3</v>
      </c>
      <c r="E55" s="51">
        <v>20.336533220270251</v>
      </c>
      <c r="F55" s="57">
        <f t="shared" si="4"/>
        <v>61.00959966081075</v>
      </c>
      <c r="G55" s="53">
        <f t="shared" si="0"/>
        <v>61.00959966081075</v>
      </c>
      <c r="H55" s="58">
        <f t="shared" si="1"/>
        <v>122.0191993216215</v>
      </c>
      <c r="I55" s="59">
        <f t="shared" si="5"/>
        <v>5.6622187325013193E-3</v>
      </c>
      <c r="J55" s="54">
        <f t="shared" si="2"/>
        <v>1.3400085898173515</v>
      </c>
      <c r="K55" s="29">
        <v>44</v>
      </c>
      <c r="L55" s="30" t="s">
        <v>119</v>
      </c>
      <c r="M55" s="61">
        <v>221</v>
      </c>
      <c r="N55" s="62">
        <v>11</v>
      </c>
      <c r="O55" s="61">
        <f>IF(K55&lt;&gt;"", SUM(M55:N55), "")</f>
        <v>232</v>
      </c>
      <c r="P55" s="62">
        <f t="shared" si="7"/>
        <v>5.081478885579113E-3</v>
      </c>
      <c r="Q55" s="62">
        <f t="shared" si="3"/>
        <v>1.2025719381991269</v>
      </c>
      <c r="R55" s="54">
        <f t="shared" si="8"/>
        <v>2.5425805280164786</v>
      </c>
      <c r="S55" s="32">
        <v>96</v>
      </c>
      <c r="T55" s="47">
        <f t="shared" si="9"/>
        <v>10.594085533401994</v>
      </c>
      <c r="U55">
        <f t="shared" si="10"/>
        <v>33.720591688189714</v>
      </c>
      <c r="V55" s="47">
        <f t="shared" si="11"/>
        <v>8.4301479220474285</v>
      </c>
      <c r="W55" s="14">
        <f t="shared" si="12"/>
        <v>5.8875673940309499</v>
      </c>
      <c r="X55" s="9">
        <f t="shared" si="13"/>
        <v>3.438243137196106</v>
      </c>
      <c r="Y55">
        <f t="shared" si="14"/>
        <v>5.9808236652125846</v>
      </c>
      <c r="Z55" s="47">
        <f t="shared" si="15"/>
        <v>24.920098605052434</v>
      </c>
      <c r="AA55">
        <f t="shared" si="16"/>
        <v>-10.20551773681186</v>
      </c>
      <c r="AB55" s="9"/>
      <c r="AC55" s="78">
        <f t="shared" si="18"/>
        <v>6</v>
      </c>
      <c r="AD55" s="34">
        <v>3</v>
      </c>
      <c r="AE55">
        <f t="shared" si="19"/>
        <v>3.3000000000000003</v>
      </c>
      <c r="AF55" s="34">
        <f t="shared" si="20"/>
        <v>2.7</v>
      </c>
      <c r="AG55" s="1">
        <v>6</v>
      </c>
    </row>
    <row r="56" spans="1:33" x14ac:dyDescent="0.25">
      <c r="A56" s="10" t="s">
        <v>64</v>
      </c>
      <c r="B56" s="48"/>
      <c r="C56" s="48"/>
      <c r="D56" s="52"/>
      <c r="E56" s="52"/>
      <c r="F56" s="48"/>
      <c r="G56" s="52"/>
      <c r="H56" s="57"/>
      <c r="I56" s="48"/>
      <c r="J56" s="54">
        <f t="shared" si="2"/>
        <v>0</v>
      </c>
      <c r="K56" s="17"/>
      <c r="L56" s="17"/>
      <c r="M56" s="64"/>
      <c r="N56" s="64"/>
      <c r="O56" s="61" t="str">
        <f t="shared" si="6"/>
        <v/>
      </c>
      <c r="P56" s="62" t="str">
        <f t="shared" si="7"/>
        <v/>
      </c>
      <c r="Q56" s="62">
        <f t="shared" si="3"/>
        <v>0</v>
      </c>
      <c r="R56" s="54">
        <f t="shared" si="8"/>
        <v>0</v>
      </c>
      <c r="S56" s="47">
        <v>77</v>
      </c>
      <c r="X56" s="9"/>
      <c r="AB56" s="9"/>
      <c r="AC56" s="78">
        <v>3</v>
      </c>
      <c r="AD56" s="34"/>
      <c r="AF56" s="34"/>
      <c r="AG56" s="1">
        <v>3</v>
      </c>
    </row>
    <row r="57" spans="1:33" x14ac:dyDescent="0.25">
      <c r="A57" s="11" t="s">
        <v>65</v>
      </c>
      <c r="B57" s="60"/>
      <c r="C57" s="60"/>
      <c r="D57" s="55"/>
      <c r="E57" s="55"/>
      <c r="F57" s="60"/>
      <c r="G57" s="55"/>
      <c r="H57" s="60"/>
      <c r="I57" s="60"/>
      <c r="J57" s="56">
        <f t="shared" si="2"/>
        <v>0</v>
      </c>
      <c r="K57" s="24"/>
      <c r="L57" s="24"/>
      <c r="M57" s="65"/>
      <c r="N57" s="65"/>
      <c r="O57" s="67"/>
      <c r="P57" s="55" t="str">
        <f t="shared" si="7"/>
        <v/>
      </c>
      <c r="Q57" s="55">
        <f t="shared" si="3"/>
        <v>0</v>
      </c>
      <c r="R57" s="56">
        <f t="shared" si="8"/>
        <v>0</v>
      </c>
      <c r="S57" s="31">
        <v>88</v>
      </c>
      <c r="T57" s="12"/>
      <c r="U57" s="12"/>
      <c r="V57" s="12"/>
      <c r="W57" s="12"/>
      <c r="X57" s="13"/>
      <c r="Y57" s="12"/>
      <c r="Z57" s="12"/>
      <c r="AA57" s="12"/>
      <c r="AB57" s="13"/>
      <c r="AC57" s="79">
        <v>3</v>
      </c>
      <c r="AD57" s="35"/>
      <c r="AE57" s="12"/>
      <c r="AF57" s="35"/>
      <c r="AG57" s="33">
        <v>3</v>
      </c>
    </row>
    <row r="58" spans="1:33" x14ac:dyDescent="0.25">
      <c r="A58" s="14"/>
      <c r="B58" s="48">
        <f>SUM(B3:B57)</f>
        <v>699</v>
      </c>
      <c r="C58" s="49">
        <f>AVERAGE(C3:C55)</f>
        <v>19.32799578170976</v>
      </c>
      <c r="D58" s="48">
        <f>SUM(D3:D55)</f>
        <v>748</v>
      </c>
      <c r="E58" s="49">
        <f>AVERAGE(E3:E55)</f>
        <v>21.141907450162272</v>
      </c>
      <c r="F58" s="48">
        <f>SUM(F3:F54)</f>
        <v>14049.906626010479</v>
      </c>
      <c r="G58" s="68">
        <f>SUM(G3:G55)</f>
        <v>16539.381693132367</v>
      </c>
      <c r="H58" s="71">
        <f>SUM(H3:H55)</f>
        <v>30650.297918803659</v>
      </c>
      <c r="I58" s="72"/>
      <c r="J58" s="64">
        <f>SUM(J3:J57)</f>
        <v>336.60000000000014</v>
      </c>
      <c r="K58" s="73"/>
      <c r="L58" s="66"/>
      <c r="M58" s="66">
        <f t="shared" ref="M58:R58" si="22">SUM(M3:M57)</f>
        <v>21025</v>
      </c>
      <c r="N58" s="66">
        <f t="shared" si="22"/>
        <v>24631</v>
      </c>
      <c r="O58" s="66">
        <f t="shared" si="22"/>
        <v>45656</v>
      </c>
      <c r="P58" s="70">
        <f t="shared" si="22"/>
        <v>1.0000000000000002</v>
      </c>
      <c r="Q58" s="71">
        <f t="shared" si="22"/>
        <v>336.59999999999997</v>
      </c>
      <c r="R58" s="69">
        <f t="shared" si="22"/>
        <v>673.2</v>
      </c>
      <c r="S58">
        <f>SUM(S3:S55)</f>
        <v>8518</v>
      </c>
      <c r="T58">
        <f>((C60*4)/S58)*100</f>
        <v>35.125616341864287</v>
      </c>
      <c r="W58">
        <f>SUM(W3:W57)</f>
        <v>128.08577622368324</v>
      </c>
      <c r="X58" s="38">
        <f>SUM(X3:X55)</f>
        <v>74.800000000000026</v>
      </c>
      <c r="Y58">
        <f>SUM(Y3:Y55)</f>
        <v>748.00000000000023</v>
      </c>
      <c r="Z58" s="15">
        <f>((Y58*4)/S58)*100</f>
        <v>35.125616341864294</v>
      </c>
      <c r="AA58">
        <f t="array" ref="AA58">AVERAGE(ABS(AA3:AA55))</f>
        <v>8.2727055346821672</v>
      </c>
      <c r="AB58">
        <f>AVERAGE(AB5:AB56)</f>
        <v>3.0340983691032708</v>
      </c>
      <c r="AC58" s="78">
        <f>SUM(AC3:AC57)</f>
        <v>757</v>
      </c>
      <c r="AD58">
        <v>748</v>
      </c>
      <c r="AG58" s="1">
        <f>SUM(AG3:AG57)</f>
        <v>755</v>
      </c>
    </row>
    <row r="59" spans="1:33" x14ac:dyDescent="0.25">
      <c r="A59" s="14"/>
      <c r="B59" s="16"/>
      <c r="E59" s="85" t="s">
        <v>146</v>
      </c>
      <c r="F59" s="85"/>
      <c r="G59" s="85"/>
      <c r="H59" s="73">
        <f t="array" ref="H59">SUM(IF(K3:K57&lt;&gt;"", H3:H57, 0))</f>
        <v>21549.714888481318</v>
      </c>
      <c r="J59" s="18"/>
    </row>
    <row r="60" spans="1:33" x14ac:dyDescent="0.25">
      <c r="A60" s="19" t="s">
        <v>66</v>
      </c>
      <c r="B60" s="19"/>
      <c r="C60" s="20">
        <v>748</v>
      </c>
      <c r="E60" s="85" t="s">
        <v>147</v>
      </c>
      <c r="F60" s="85"/>
      <c r="G60" s="85"/>
      <c r="H60" s="73">
        <f t="array" ref="H60">SUM(IF(K3:K57="", H3:H57, ""))</f>
        <v>9100.583030322352</v>
      </c>
    </row>
    <row r="61" spans="1:33" x14ac:dyDescent="0.25">
      <c r="A61" s="21" t="s">
        <v>67</v>
      </c>
      <c r="B61" s="22">
        <f>(1-$B$63)/2</f>
        <v>0.45</v>
      </c>
      <c r="C61" s="23">
        <f>$C$60*B61</f>
        <v>336.6</v>
      </c>
    </row>
    <row r="62" spans="1:33" x14ac:dyDescent="0.25">
      <c r="A62" s="21" t="s">
        <v>68</v>
      </c>
      <c r="B62" s="22">
        <f>(1-$B$63)/2</f>
        <v>0.45</v>
      </c>
      <c r="C62" s="23">
        <f t="shared" ref="C62:C63" si="23">$C$60*B62</f>
        <v>336.6</v>
      </c>
    </row>
    <row r="63" spans="1:33" x14ac:dyDescent="0.25">
      <c r="A63" s="21" t="s">
        <v>69</v>
      </c>
      <c r="B63" s="22">
        <v>0.1</v>
      </c>
      <c r="C63" s="23">
        <f t="shared" si="23"/>
        <v>74.8</v>
      </c>
    </row>
    <row r="65" spans="1:3" x14ac:dyDescent="0.25">
      <c r="A65" s="21" t="s">
        <v>70</v>
      </c>
      <c r="B65" s="74">
        <f>H59/H58</f>
        <v>0.7030833744444871</v>
      </c>
      <c r="C65" s="75">
        <f>B65*C61</f>
        <v>236.65786383801438</v>
      </c>
    </row>
    <row r="66" spans="1:3" x14ac:dyDescent="0.25">
      <c r="A66" s="21" t="s">
        <v>71</v>
      </c>
      <c r="B66" s="74">
        <f>H60/H58</f>
        <v>0.29691662555551324</v>
      </c>
      <c r="C66" s="75">
        <f>B66*C61</f>
        <v>99.942136161985758</v>
      </c>
    </row>
    <row r="67" spans="1:3" x14ac:dyDescent="0.25">
      <c r="B67" s="75"/>
      <c r="C67" s="76">
        <f>SUM(C65:C66)</f>
        <v>336.60000000000014</v>
      </c>
    </row>
  </sheetData>
  <mergeCells count="5">
    <mergeCell ref="B1:J1"/>
    <mergeCell ref="K1:Q1"/>
    <mergeCell ref="E59:G59"/>
    <mergeCell ref="E60:G60"/>
    <mergeCell ref="S1:X1"/>
  </mergeCells>
  <conditionalFormatting sqref="AA3:AA5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ignoredErrors>
    <ignoredError sqref="D58" formula="1"/>
    <ignoredError sqref="S58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topLeftCell="A31" zoomScale="75" zoomScaleNormal="75" workbookViewId="0">
      <selection activeCell="D53" sqref="D53"/>
    </sheetView>
  </sheetViews>
  <sheetFormatPr defaultRowHeight="15" x14ac:dyDescent="0.25"/>
  <cols>
    <col min="1" max="1" width="45.140625" bestFit="1" customWidth="1"/>
    <col min="2" max="2" width="16.140625" bestFit="1" customWidth="1"/>
    <col min="4" max="4" width="13.28515625" bestFit="1" customWidth="1"/>
    <col min="5" max="5" width="19.7109375" customWidth="1"/>
  </cols>
  <sheetData>
    <row r="1" spans="1:5" x14ac:dyDescent="0.25">
      <c r="A1" s="12"/>
      <c r="B1" s="12"/>
      <c r="C1" s="12"/>
      <c r="D1" s="12"/>
    </row>
    <row r="2" spans="1:5" ht="24" customHeight="1" x14ac:dyDescent="0.25">
      <c r="A2" s="36" t="s">
        <v>1</v>
      </c>
      <c r="B2" s="40" t="s">
        <v>137</v>
      </c>
      <c r="C2" s="41" t="s">
        <v>138</v>
      </c>
      <c r="D2" s="43" t="s">
        <v>139</v>
      </c>
      <c r="E2" s="46" t="s">
        <v>140</v>
      </c>
    </row>
    <row r="3" spans="1:5" x14ac:dyDescent="0.25">
      <c r="A3" s="8" t="s">
        <v>11</v>
      </c>
      <c r="B3" s="40">
        <f>'2015 Program Panel Calculations'!AG3</f>
        <v>26</v>
      </c>
      <c r="C3" s="9">
        <f>B3/$B$58</f>
        <v>3.443708609271523E-2</v>
      </c>
      <c r="D3" s="44">
        <f>C3*$B$61</f>
        <v>17.080794701986754</v>
      </c>
      <c r="E3" s="1">
        <f>ROUND(D3, 0)</f>
        <v>17</v>
      </c>
    </row>
    <row r="4" spans="1:5" x14ac:dyDescent="0.25">
      <c r="A4" s="8" t="s">
        <v>12</v>
      </c>
      <c r="B4" s="40">
        <f>'2015 Program Panel Calculations'!AG4</f>
        <v>38</v>
      </c>
      <c r="C4" s="9">
        <f t="shared" ref="C4:C57" si="0">B4/$B$58</f>
        <v>5.0331125827814571E-2</v>
      </c>
      <c r="D4" s="44">
        <f t="shared" ref="D4:D57" si="1">C4*$B$61</f>
        <v>24.964238410596028</v>
      </c>
      <c r="E4" s="1">
        <f t="shared" ref="E4:E57" si="2">ROUND(D4, 0)</f>
        <v>25</v>
      </c>
    </row>
    <row r="5" spans="1:5" x14ac:dyDescent="0.25">
      <c r="A5" s="8" t="s">
        <v>13</v>
      </c>
      <c r="B5" s="40">
        <f>'2015 Program Panel Calculations'!AG5</f>
        <v>26</v>
      </c>
      <c r="C5" s="9">
        <f t="shared" si="0"/>
        <v>3.443708609271523E-2</v>
      </c>
      <c r="D5" s="44">
        <f t="shared" si="1"/>
        <v>17.080794701986754</v>
      </c>
      <c r="E5" s="1">
        <f t="shared" si="2"/>
        <v>17</v>
      </c>
    </row>
    <row r="6" spans="1:5" x14ac:dyDescent="0.25">
      <c r="A6" s="8" t="s">
        <v>14</v>
      </c>
      <c r="B6" s="40">
        <f>'2015 Program Panel Calculations'!AG6</f>
        <v>6</v>
      </c>
      <c r="C6" s="9">
        <f t="shared" si="0"/>
        <v>7.9470198675496689E-3</v>
      </c>
      <c r="D6" s="44">
        <f t="shared" si="1"/>
        <v>3.9417218543046357</v>
      </c>
      <c r="E6" s="1">
        <f t="shared" si="2"/>
        <v>4</v>
      </c>
    </row>
    <row r="7" spans="1:5" x14ac:dyDescent="0.25">
      <c r="A7" s="8" t="s">
        <v>15</v>
      </c>
      <c r="B7" s="40">
        <f>'2015 Program Panel Calculations'!AG7</f>
        <v>14</v>
      </c>
      <c r="C7" s="9">
        <f t="shared" si="0"/>
        <v>1.8543046357615896E-2</v>
      </c>
      <c r="D7" s="44">
        <f t="shared" si="1"/>
        <v>9.1973509933774835</v>
      </c>
      <c r="E7" s="1">
        <f t="shared" si="2"/>
        <v>9</v>
      </c>
    </row>
    <row r="8" spans="1:5" x14ac:dyDescent="0.25">
      <c r="A8" s="8" t="s">
        <v>16</v>
      </c>
      <c r="B8" s="40">
        <f>'2015 Program Panel Calculations'!AG8</f>
        <v>21</v>
      </c>
      <c r="C8" s="9">
        <f t="shared" si="0"/>
        <v>2.781456953642384E-2</v>
      </c>
      <c r="D8" s="44">
        <f t="shared" si="1"/>
        <v>13.796026490066225</v>
      </c>
      <c r="E8" s="1">
        <f t="shared" si="2"/>
        <v>14</v>
      </c>
    </row>
    <row r="9" spans="1:5" x14ac:dyDescent="0.25">
      <c r="A9" s="8" t="s">
        <v>17</v>
      </c>
      <c r="B9" s="40">
        <f>'2015 Program Panel Calculations'!AG9</f>
        <v>15</v>
      </c>
      <c r="C9" s="9">
        <f t="shared" si="0"/>
        <v>1.9867549668874173E-2</v>
      </c>
      <c r="D9" s="44">
        <f t="shared" si="1"/>
        <v>9.85430463576159</v>
      </c>
      <c r="E9" s="1">
        <f t="shared" si="2"/>
        <v>10</v>
      </c>
    </row>
    <row r="10" spans="1:5" x14ac:dyDescent="0.25">
      <c r="A10" s="8" t="s">
        <v>18</v>
      </c>
      <c r="B10" s="40">
        <f>'2015 Program Panel Calculations'!AG10</f>
        <v>19</v>
      </c>
      <c r="C10" s="9">
        <f t="shared" si="0"/>
        <v>2.5165562913907286E-2</v>
      </c>
      <c r="D10" s="44">
        <f t="shared" si="1"/>
        <v>12.482119205298014</v>
      </c>
      <c r="E10" s="1">
        <f t="shared" si="2"/>
        <v>12</v>
      </c>
    </row>
    <row r="11" spans="1:5" x14ac:dyDescent="0.25">
      <c r="A11" s="8" t="s">
        <v>19</v>
      </c>
      <c r="B11" s="40">
        <f>'2015 Program Panel Calculations'!AG11</f>
        <v>4</v>
      </c>
      <c r="C11" s="9">
        <f t="shared" si="0"/>
        <v>5.2980132450331126E-3</v>
      </c>
      <c r="D11" s="44">
        <f t="shared" si="1"/>
        <v>2.6278145695364237</v>
      </c>
      <c r="E11" s="1">
        <f t="shared" si="2"/>
        <v>3</v>
      </c>
    </row>
    <row r="12" spans="1:5" x14ac:dyDescent="0.25">
      <c r="A12" s="8" t="s">
        <v>20</v>
      </c>
      <c r="B12" s="40">
        <f>'2015 Program Panel Calculations'!AG12</f>
        <v>6</v>
      </c>
      <c r="C12" s="9">
        <f t="shared" si="0"/>
        <v>7.9470198675496689E-3</v>
      </c>
      <c r="D12" s="44">
        <f t="shared" si="1"/>
        <v>3.9417218543046357</v>
      </c>
      <c r="E12" s="1">
        <f t="shared" si="2"/>
        <v>4</v>
      </c>
    </row>
    <row r="13" spans="1:5" x14ac:dyDescent="0.25">
      <c r="A13" s="8" t="s">
        <v>21</v>
      </c>
      <c r="B13" s="40">
        <f>'2015 Program Panel Calculations'!AG13</f>
        <v>45</v>
      </c>
      <c r="C13" s="9">
        <f t="shared" si="0"/>
        <v>5.9602649006622516E-2</v>
      </c>
      <c r="D13" s="44">
        <f t="shared" si="1"/>
        <v>29.562913907284766</v>
      </c>
      <c r="E13" s="1">
        <f t="shared" si="2"/>
        <v>30</v>
      </c>
    </row>
    <row r="14" spans="1:5" x14ac:dyDescent="0.25">
      <c r="A14" s="8" t="s">
        <v>22</v>
      </c>
      <c r="B14" s="40">
        <f>'2015 Program Panel Calculations'!AG14</f>
        <v>41</v>
      </c>
      <c r="C14" s="9">
        <f t="shared" si="0"/>
        <v>5.4304635761589407E-2</v>
      </c>
      <c r="D14" s="44">
        <f t="shared" si="1"/>
        <v>26.935099337748344</v>
      </c>
      <c r="E14" s="1">
        <f t="shared" si="2"/>
        <v>27</v>
      </c>
    </row>
    <row r="15" spans="1:5" x14ac:dyDescent="0.25">
      <c r="A15" s="8" t="s">
        <v>23</v>
      </c>
      <c r="B15" s="40">
        <f>'2015 Program Panel Calculations'!AG15</f>
        <v>13</v>
      </c>
      <c r="C15" s="9">
        <f t="shared" si="0"/>
        <v>1.7218543046357615E-2</v>
      </c>
      <c r="D15" s="44">
        <f t="shared" si="1"/>
        <v>8.540397350993377</v>
      </c>
      <c r="E15" s="1">
        <f t="shared" si="2"/>
        <v>9</v>
      </c>
    </row>
    <row r="16" spans="1:5" x14ac:dyDescent="0.25">
      <c r="A16" s="8" t="s">
        <v>24</v>
      </c>
      <c r="B16" s="40">
        <f>'2015 Program Panel Calculations'!AG16</f>
        <v>7</v>
      </c>
      <c r="C16" s="9">
        <f t="shared" si="0"/>
        <v>9.2715231788079479E-3</v>
      </c>
      <c r="D16" s="44">
        <f t="shared" si="1"/>
        <v>4.5986754966887418</v>
      </c>
      <c r="E16" s="1">
        <f t="shared" si="2"/>
        <v>5</v>
      </c>
    </row>
    <row r="17" spans="1:5" x14ac:dyDescent="0.25">
      <c r="A17" s="8" t="s">
        <v>25</v>
      </c>
      <c r="B17" s="40">
        <f>'2015 Program Panel Calculations'!AG17</f>
        <v>14</v>
      </c>
      <c r="C17" s="9">
        <f t="shared" si="0"/>
        <v>1.8543046357615896E-2</v>
      </c>
      <c r="D17" s="44">
        <f t="shared" si="1"/>
        <v>9.1973509933774835</v>
      </c>
      <c r="E17" s="1">
        <f t="shared" si="2"/>
        <v>9</v>
      </c>
    </row>
    <row r="18" spans="1:5" x14ac:dyDescent="0.25">
      <c r="A18" s="8" t="s">
        <v>26</v>
      </c>
      <c r="B18" s="40">
        <f>'2015 Program Panel Calculations'!AG18</f>
        <v>22</v>
      </c>
      <c r="C18" s="9">
        <f t="shared" si="0"/>
        <v>2.9139072847682121E-2</v>
      </c>
      <c r="D18" s="44">
        <f t="shared" si="1"/>
        <v>14.452980132450332</v>
      </c>
      <c r="E18" s="1">
        <f t="shared" si="2"/>
        <v>14</v>
      </c>
    </row>
    <row r="19" spans="1:5" x14ac:dyDescent="0.25">
      <c r="A19" s="8" t="s">
        <v>27</v>
      </c>
      <c r="B19" s="40">
        <f>'2015 Program Panel Calculations'!AG19</f>
        <v>14</v>
      </c>
      <c r="C19" s="9">
        <f t="shared" si="0"/>
        <v>1.8543046357615896E-2</v>
      </c>
      <c r="D19" s="44">
        <f t="shared" si="1"/>
        <v>9.1973509933774835</v>
      </c>
      <c r="E19" s="1">
        <f t="shared" si="2"/>
        <v>9</v>
      </c>
    </row>
    <row r="20" spans="1:5" x14ac:dyDescent="0.25">
      <c r="A20" s="8" t="s">
        <v>28</v>
      </c>
      <c r="B20" s="40">
        <f>'2015 Program Panel Calculations'!AG20</f>
        <v>29</v>
      </c>
      <c r="C20" s="9">
        <f t="shared" si="0"/>
        <v>3.8410596026490065E-2</v>
      </c>
      <c r="D20" s="44">
        <f t="shared" si="1"/>
        <v>19.051655629139074</v>
      </c>
      <c r="E20" s="1">
        <f t="shared" si="2"/>
        <v>19</v>
      </c>
    </row>
    <row r="21" spans="1:5" x14ac:dyDescent="0.25">
      <c r="A21" s="8" t="s">
        <v>29</v>
      </c>
      <c r="B21" s="40">
        <f>'2015 Program Panel Calculations'!AG21</f>
        <v>11</v>
      </c>
      <c r="C21" s="9">
        <f t="shared" si="0"/>
        <v>1.456953642384106E-2</v>
      </c>
      <c r="D21" s="44">
        <f t="shared" si="1"/>
        <v>7.2264900662251659</v>
      </c>
      <c r="E21" s="1">
        <f t="shared" si="2"/>
        <v>7</v>
      </c>
    </row>
    <row r="22" spans="1:5" x14ac:dyDescent="0.25">
      <c r="A22" s="8" t="s">
        <v>30</v>
      </c>
      <c r="B22" s="40">
        <f>'2015 Program Panel Calculations'!AG22</f>
        <v>17</v>
      </c>
      <c r="C22" s="9">
        <f t="shared" si="0"/>
        <v>2.2516556291390728E-2</v>
      </c>
      <c r="D22" s="44">
        <f t="shared" si="1"/>
        <v>11.168211920529801</v>
      </c>
      <c r="E22" s="1">
        <f t="shared" si="2"/>
        <v>11</v>
      </c>
    </row>
    <row r="23" spans="1:5" x14ac:dyDescent="0.25">
      <c r="A23" s="8" t="s">
        <v>31</v>
      </c>
      <c r="B23" s="40">
        <f>'2015 Program Panel Calculations'!AG23</f>
        <v>25</v>
      </c>
      <c r="C23" s="9">
        <f t="shared" si="0"/>
        <v>3.3112582781456956E-2</v>
      </c>
      <c r="D23" s="44">
        <f t="shared" si="1"/>
        <v>16.423841059602651</v>
      </c>
      <c r="E23" s="1">
        <f t="shared" si="2"/>
        <v>16</v>
      </c>
    </row>
    <row r="24" spans="1:5" x14ac:dyDescent="0.25">
      <c r="A24" s="8" t="s">
        <v>32</v>
      </c>
      <c r="B24" s="40">
        <f>'2015 Program Panel Calculations'!AG24</f>
        <v>15</v>
      </c>
      <c r="C24" s="9">
        <f t="shared" si="0"/>
        <v>1.9867549668874173E-2</v>
      </c>
      <c r="D24" s="44">
        <f t="shared" si="1"/>
        <v>9.85430463576159</v>
      </c>
      <c r="E24" s="1">
        <f t="shared" si="2"/>
        <v>10</v>
      </c>
    </row>
    <row r="25" spans="1:5" x14ac:dyDescent="0.25">
      <c r="A25" s="8" t="s">
        <v>33</v>
      </c>
      <c r="B25" s="40">
        <f>'2015 Program Panel Calculations'!AG25</f>
        <v>9</v>
      </c>
      <c r="C25" s="9">
        <f t="shared" si="0"/>
        <v>1.1920529801324504E-2</v>
      </c>
      <c r="D25" s="44">
        <f t="shared" si="1"/>
        <v>5.9125827814569538</v>
      </c>
      <c r="E25" s="1">
        <f t="shared" si="2"/>
        <v>6</v>
      </c>
    </row>
    <row r="26" spans="1:5" x14ac:dyDescent="0.25">
      <c r="A26" s="8" t="s">
        <v>34</v>
      </c>
      <c r="B26" s="40">
        <f>'2015 Program Panel Calculations'!AG26</f>
        <v>8</v>
      </c>
      <c r="C26" s="9">
        <f t="shared" si="0"/>
        <v>1.0596026490066225E-2</v>
      </c>
      <c r="D26" s="44">
        <f t="shared" si="1"/>
        <v>5.2556291390728473</v>
      </c>
      <c r="E26" s="1">
        <f t="shared" si="2"/>
        <v>5</v>
      </c>
    </row>
    <row r="27" spans="1:5" x14ac:dyDescent="0.25">
      <c r="A27" s="8" t="s">
        <v>35</v>
      </c>
      <c r="B27" s="40">
        <f>'2015 Program Panel Calculations'!AG27</f>
        <v>18</v>
      </c>
      <c r="C27" s="9">
        <f t="shared" si="0"/>
        <v>2.3841059602649008E-2</v>
      </c>
      <c r="D27" s="44">
        <f t="shared" si="1"/>
        <v>11.825165562913908</v>
      </c>
      <c r="E27" s="1">
        <f t="shared" si="2"/>
        <v>12</v>
      </c>
    </row>
    <row r="28" spans="1:5" x14ac:dyDescent="0.25">
      <c r="A28" s="8" t="s">
        <v>36</v>
      </c>
      <c r="B28" s="40">
        <f>'2015 Program Panel Calculations'!AG28</f>
        <v>15</v>
      </c>
      <c r="C28" s="9">
        <f t="shared" si="0"/>
        <v>1.9867549668874173E-2</v>
      </c>
      <c r="D28" s="44">
        <f t="shared" si="1"/>
        <v>9.85430463576159</v>
      </c>
      <c r="E28" s="1">
        <f t="shared" si="2"/>
        <v>10</v>
      </c>
    </row>
    <row r="29" spans="1:5" x14ac:dyDescent="0.25">
      <c r="A29" s="8" t="s">
        <v>37</v>
      </c>
      <c r="B29" s="40">
        <f>'2015 Program Panel Calculations'!AG29</f>
        <v>6</v>
      </c>
      <c r="C29" s="9">
        <f t="shared" si="0"/>
        <v>7.9470198675496689E-3</v>
      </c>
      <c r="D29" s="44">
        <f t="shared" si="1"/>
        <v>3.9417218543046357</v>
      </c>
      <c r="E29" s="1">
        <f t="shared" si="2"/>
        <v>4</v>
      </c>
    </row>
    <row r="30" spans="1:5" x14ac:dyDescent="0.25">
      <c r="A30" s="8" t="s">
        <v>38</v>
      </c>
      <c r="B30" s="40">
        <f>'2015 Program Panel Calculations'!AG30</f>
        <v>7</v>
      </c>
      <c r="C30" s="9">
        <f t="shared" si="0"/>
        <v>9.2715231788079479E-3</v>
      </c>
      <c r="D30" s="44">
        <f t="shared" si="1"/>
        <v>4.5986754966887418</v>
      </c>
      <c r="E30" s="1">
        <f t="shared" si="2"/>
        <v>5</v>
      </c>
    </row>
    <row r="31" spans="1:5" x14ac:dyDescent="0.25">
      <c r="A31" s="8" t="s">
        <v>39</v>
      </c>
      <c r="B31" s="40">
        <f>'2015 Program Panel Calculations'!AG31</f>
        <v>8</v>
      </c>
      <c r="C31" s="9">
        <f t="shared" si="0"/>
        <v>1.0596026490066225E-2</v>
      </c>
      <c r="D31" s="44">
        <f t="shared" si="1"/>
        <v>5.2556291390728473</v>
      </c>
      <c r="E31" s="1">
        <f t="shared" si="2"/>
        <v>5</v>
      </c>
    </row>
    <row r="32" spans="1:5" x14ac:dyDescent="0.25">
      <c r="A32" s="8" t="s">
        <v>40</v>
      </c>
      <c r="B32" s="40">
        <f>'2015 Program Panel Calculations'!AG32</f>
        <v>7</v>
      </c>
      <c r="C32" s="9">
        <f t="shared" si="0"/>
        <v>9.2715231788079479E-3</v>
      </c>
      <c r="D32" s="44">
        <f t="shared" si="1"/>
        <v>4.5986754966887418</v>
      </c>
      <c r="E32" s="1">
        <f t="shared" si="2"/>
        <v>5</v>
      </c>
    </row>
    <row r="33" spans="1:5" x14ac:dyDescent="0.25">
      <c r="A33" s="8" t="s">
        <v>41</v>
      </c>
      <c r="B33" s="40">
        <f>'2015 Program Panel Calculations'!AG33</f>
        <v>15</v>
      </c>
      <c r="C33" s="9">
        <f t="shared" si="0"/>
        <v>1.9867549668874173E-2</v>
      </c>
      <c r="D33" s="44">
        <f t="shared" si="1"/>
        <v>9.85430463576159</v>
      </c>
      <c r="E33" s="1">
        <f t="shared" si="2"/>
        <v>10</v>
      </c>
    </row>
    <row r="34" spans="1:5" x14ac:dyDescent="0.25">
      <c r="A34" s="8" t="s">
        <v>42</v>
      </c>
      <c r="B34" s="40">
        <f>'2015 Program Panel Calculations'!AG34</f>
        <v>15</v>
      </c>
      <c r="C34" s="9">
        <f t="shared" si="0"/>
        <v>1.9867549668874173E-2</v>
      </c>
      <c r="D34" s="44">
        <f t="shared" si="1"/>
        <v>9.85430463576159</v>
      </c>
      <c r="E34" s="1">
        <f t="shared" si="2"/>
        <v>10</v>
      </c>
    </row>
    <row r="35" spans="1:5" x14ac:dyDescent="0.25">
      <c r="A35" s="8" t="s">
        <v>43</v>
      </c>
      <c r="B35" s="40">
        <f>'2015 Program Panel Calculations'!AG35</f>
        <v>11</v>
      </c>
      <c r="C35" s="9">
        <f t="shared" si="0"/>
        <v>1.456953642384106E-2</v>
      </c>
      <c r="D35" s="44">
        <f t="shared" si="1"/>
        <v>7.2264900662251659</v>
      </c>
      <c r="E35" s="1">
        <f t="shared" si="2"/>
        <v>7</v>
      </c>
    </row>
    <row r="36" spans="1:5" x14ac:dyDescent="0.25">
      <c r="A36" s="8" t="s">
        <v>44</v>
      </c>
      <c r="B36" s="40">
        <f>'2015 Program Panel Calculations'!AG36</f>
        <v>10</v>
      </c>
      <c r="C36" s="9">
        <f t="shared" si="0"/>
        <v>1.3245033112582781E-2</v>
      </c>
      <c r="D36" s="44">
        <f t="shared" si="1"/>
        <v>6.5695364238410594</v>
      </c>
      <c r="E36" s="1">
        <f t="shared" si="2"/>
        <v>7</v>
      </c>
    </row>
    <row r="37" spans="1:5" x14ac:dyDescent="0.25">
      <c r="A37" s="8" t="s">
        <v>45</v>
      </c>
      <c r="B37" s="40">
        <f>'2015 Program Panel Calculations'!AG37</f>
        <v>14</v>
      </c>
      <c r="C37" s="9">
        <f t="shared" si="0"/>
        <v>1.8543046357615896E-2</v>
      </c>
      <c r="D37" s="44">
        <f t="shared" si="1"/>
        <v>9.1973509933774835</v>
      </c>
      <c r="E37" s="1">
        <f t="shared" si="2"/>
        <v>9</v>
      </c>
    </row>
    <row r="38" spans="1:5" x14ac:dyDescent="0.25">
      <c r="A38" s="8" t="s">
        <v>46</v>
      </c>
      <c r="B38" s="40">
        <f>'2015 Program Panel Calculations'!AG38</f>
        <v>22</v>
      </c>
      <c r="C38" s="9">
        <f t="shared" si="0"/>
        <v>2.9139072847682121E-2</v>
      </c>
      <c r="D38" s="44">
        <f t="shared" si="1"/>
        <v>14.452980132450332</v>
      </c>
      <c r="E38" s="1">
        <f t="shared" si="2"/>
        <v>14</v>
      </c>
    </row>
    <row r="39" spans="1:5" x14ac:dyDescent="0.25">
      <c r="A39" s="8" t="s">
        <v>47</v>
      </c>
      <c r="B39" s="40">
        <f>'2015 Program Panel Calculations'!AG39</f>
        <v>14</v>
      </c>
      <c r="C39" s="9">
        <f t="shared" si="0"/>
        <v>1.8543046357615896E-2</v>
      </c>
      <c r="D39" s="44">
        <f t="shared" si="1"/>
        <v>9.1973509933774835</v>
      </c>
      <c r="E39" s="1">
        <f t="shared" si="2"/>
        <v>9</v>
      </c>
    </row>
    <row r="40" spans="1:5" x14ac:dyDescent="0.25">
      <c r="A40" s="8" t="s">
        <v>48</v>
      </c>
      <c r="B40" s="40">
        <f>'2015 Program Panel Calculations'!AG40</f>
        <v>13</v>
      </c>
      <c r="C40" s="9">
        <f t="shared" si="0"/>
        <v>1.7218543046357615E-2</v>
      </c>
      <c r="D40" s="44">
        <f t="shared" si="1"/>
        <v>8.540397350993377</v>
      </c>
      <c r="E40" s="1">
        <f t="shared" si="2"/>
        <v>9</v>
      </c>
    </row>
    <row r="41" spans="1:5" x14ac:dyDescent="0.25">
      <c r="A41" s="8" t="s">
        <v>49</v>
      </c>
      <c r="B41" s="40">
        <f>'2015 Program Panel Calculations'!AG41</f>
        <v>9</v>
      </c>
      <c r="C41" s="9">
        <f t="shared" si="0"/>
        <v>1.1920529801324504E-2</v>
      </c>
      <c r="D41" s="44">
        <f t="shared" si="1"/>
        <v>5.9125827814569538</v>
      </c>
      <c r="E41" s="1">
        <f t="shared" si="2"/>
        <v>6</v>
      </c>
    </row>
    <row r="42" spans="1:5" x14ac:dyDescent="0.25">
      <c r="A42" s="8" t="s">
        <v>50</v>
      </c>
      <c r="B42" s="40">
        <f>'2015 Program Panel Calculations'!AG42</f>
        <v>7</v>
      </c>
      <c r="C42" s="9">
        <f t="shared" si="0"/>
        <v>9.2715231788079479E-3</v>
      </c>
      <c r="D42" s="44">
        <f t="shared" si="1"/>
        <v>4.5986754966887418</v>
      </c>
      <c r="E42" s="1">
        <f t="shared" si="2"/>
        <v>5</v>
      </c>
    </row>
    <row r="43" spans="1:5" x14ac:dyDescent="0.25">
      <c r="A43" s="8" t="s">
        <v>51</v>
      </c>
      <c r="B43" s="40">
        <f>'2015 Program Panel Calculations'!AG43</f>
        <v>5</v>
      </c>
      <c r="C43" s="9">
        <f t="shared" si="0"/>
        <v>6.6225165562913907E-3</v>
      </c>
      <c r="D43" s="44">
        <f t="shared" si="1"/>
        <v>3.2847682119205297</v>
      </c>
      <c r="E43" s="1">
        <f t="shared" si="2"/>
        <v>3</v>
      </c>
    </row>
    <row r="44" spans="1:5" x14ac:dyDescent="0.25">
      <c r="A44" s="8" t="s">
        <v>52</v>
      </c>
      <c r="B44" s="40">
        <f>'2015 Program Panel Calculations'!AG44</f>
        <v>8</v>
      </c>
      <c r="C44" s="9">
        <f t="shared" si="0"/>
        <v>1.0596026490066225E-2</v>
      </c>
      <c r="D44" s="44">
        <f t="shared" si="1"/>
        <v>5.2556291390728473</v>
      </c>
      <c r="E44" s="1">
        <f t="shared" si="2"/>
        <v>5</v>
      </c>
    </row>
    <row r="45" spans="1:5" x14ac:dyDescent="0.25">
      <c r="A45" s="8" t="s">
        <v>53</v>
      </c>
      <c r="B45" s="40">
        <f>'2015 Program Panel Calculations'!AG45</f>
        <v>8</v>
      </c>
      <c r="C45" s="9">
        <f t="shared" si="0"/>
        <v>1.0596026490066225E-2</v>
      </c>
      <c r="D45" s="44">
        <f t="shared" si="1"/>
        <v>5.2556291390728473</v>
      </c>
      <c r="E45" s="1">
        <f t="shared" si="2"/>
        <v>5</v>
      </c>
    </row>
    <row r="46" spans="1:5" x14ac:dyDescent="0.25">
      <c r="A46" s="8" t="s">
        <v>54</v>
      </c>
      <c r="B46" s="40">
        <f>'2015 Program Panel Calculations'!AG46</f>
        <v>18</v>
      </c>
      <c r="C46" s="9">
        <f t="shared" si="0"/>
        <v>2.3841059602649008E-2</v>
      </c>
      <c r="D46" s="44">
        <f t="shared" si="1"/>
        <v>11.825165562913908</v>
      </c>
      <c r="E46" s="1">
        <f t="shared" si="2"/>
        <v>12</v>
      </c>
    </row>
    <row r="47" spans="1:5" x14ac:dyDescent="0.25">
      <c r="A47" s="8" t="s">
        <v>55</v>
      </c>
      <c r="B47" s="40">
        <f>'2015 Program Panel Calculations'!AG47</f>
        <v>10</v>
      </c>
      <c r="C47" s="9">
        <f t="shared" si="0"/>
        <v>1.3245033112582781E-2</v>
      </c>
      <c r="D47" s="44">
        <f t="shared" si="1"/>
        <v>6.5695364238410594</v>
      </c>
      <c r="E47" s="1">
        <f t="shared" si="2"/>
        <v>7</v>
      </c>
    </row>
    <row r="48" spans="1:5" x14ac:dyDescent="0.25">
      <c r="A48" s="8" t="s">
        <v>56</v>
      </c>
      <c r="B48" s="40">
        <f>'2015 Program Panel Calculations'!AG48</f>
        <v>19</v>
      </c>
      <c r="C48" s="9">
        <f t="shared" si="0"/>
        <v>2.5165562913907286E-2</v>
      </c>
      <c r="D48" s="44">
        <f t="shared" si="1"/>
        <v>12.482119205298014</v>
      </c>
      <c r="E48" s="1">
        <f t="shared" si="2"/>
        <v>12</v>
      </c>
    </row>
    <row r="49" spans="1:5" x14ac:dyDescent="0.25">
      <c r="A49" s="8" t="s">
        <v>57</v>
      </c>
      <c r="B49" s="40">
        <f>'2015 Program Panel Calculations'!AG49</f>
        <v>4</v>
      </c>
      <c r="C49" s="9">
        <f t="shared" si="0"/>
        <v>5.2980132450331126E-3</v>
      </c>
      <c r="D49" s="44">
        <f t="shared" si="1"/>
        <v>2.6278145695364237</v>
      </c>
      <c r="E49" s="1">
        <f t="shared" si="2"/>
        <v>3</v>
      </c>
    </row>
    <row r="50" spans="1:5" x14ac:dyDescent="0.25">
      <c r="A50" s="8" t="s">
        <v>58</v>
      </c>
      <c r="B50" s="40">
        <f>'2015 Program Panel Calculations'!AG50</f>
        <v>5</v>
      </c>
      <c r="C50" s="9">
        <f t="shared" si="0"/>
        <v>6.6225165562913907E-3</v>
      </c>
      <c r="D50" s="44">
        <f t="shared" si="1"/>
        <v>3.2847682119205297</v>
      </c>
      <c r="E50" s="1">
        <f t="shared" si="2"/>
        <v>3</v>
      </c>
    </row>
    <row r="51" spans="1:5" x14ac:dyDescent="0.25">
      <c r="A51" s="8" t="s">
        <v>59</v>
      </c>
      <c r="B51" s="40">
        <f>'2015 Program Panel Calculations'!AG51</f>
        <v>3</v>
      </c>
      <c r="C51" s="9">
        <f t="shared" si="0"/>
        <v>3.9735099337748344E-3</v>
      </c>
      <c r="D51" s="44">
        <f t="shared" si="1"/>
        <v>1.9708609271523179</v>
      </c>
      <c r="E51" s="1">
        <f t="shared" si="2"/>
        <v>2</v>
      </c>
    </row>
    <row r="52" spans="1:5" x14ac:dyDescent="0.25">
      <c r="A52" s="8" t="s">
        <v>60</v>
      </c>
      <c r="B52" s="40">
        <f>'2015 Program Panel Calculations'!AG52</f>
        <v>5</v>
      </c>
      <c r="C52" s="9">
        <f t="shared" si="0"/>
        <v>6.6225165562913907E-3</v>
      </c>
      <c r="D52" s="44">
        <f t="shared" si="1"/>
        <v>3.2847682119205297</v>
      </c>
      <c r="E52" s="1">
        <f t="shared" si="2"/>
        <v>3</v>
      </c>
    </row>
    <row r="53" spans="1:5" x14ac:dyDescent="0.25">
      <c r="A53" s="8" t="s">
        <v>61</v>
      </c>
      <c r="B53" s="40">
        <f>'2015 Program Panel Calculations'!AG53</f>
        <v>8</v>
      </c>
      <c r="C53" s="9">
        <f t="shared" si="0"/>
        <v>1.0596026490066225E-2</v>
      </c>
      <c r="D53" s="44">
        <f t="shared" si="1"/>
        <v>5.2556291390728473</v>
      </c>
      <c r="E53" s="1">
        <f t="shared" si="2"/>
        <v>5</v>
      </c>
    </row>
    <row r="54" spans="1:5" x14ac:dyDescent="0.25">
      <c r="A54" s="8" t="s">
        <v>62</v>
      </c>
      <c r="B54" s="40">
        <f>'2015 Program Panel Calculations'!AG54</f>
        <v>14</v>
      </c>
      <c r="C54" s="9">
        <f t="shared" si="0"/>
        <v>1.8543046357615896E-2</v>
      </c>
      <c r="D54" s="44">
        <f t="shared" si="1"/>
        <v>9.1973509933774835</v>
      </c>
      <c r="E54" s="1">
        <f t="shared" si="2"/>
        <v>9</v>
      </c>
    </row>
    <row r="55" spans="1:5" x14ac:dyDescent="0.25">
      <c r="A55" s="8" t="s">
        <v>63</v>
      </c>
      <c r="B55" s="40">
        <f>'2015 Program Panel Calculations'!AG55</f>
        <v>6</v>
      </c>
      <c r="C55" s="9">
        <f t="shared" si="0"/>
        <v>7.9470198675496689E-3</v>
      </c>
      <c r="D55" s="44">
        <f t="shared" si="1"/>
        <v>3.9417218543046357</v>
      </c>
      <c r="E55" s="1">
        <f t="shared" si="2"/>
        <v>4</v>
      </c>
    </row>
    <row r="56" spans="1:5" x14ac:dyDescent="0.25">
      <c r="A56" s="8" t="s">
        <v>64</v>
      </c>
      <c r="B56" s="40">
        <f>'2015 Program Panel Calculations'!AG56</f>
        <v>3</v>
      </c>
      <c r="C56" s="9">
        <f t="shared" si="0"/>
        <v>3.9735099337748344E-3</v>
      </c>
      <c r="D56" s="44">
        <f t="shared" si="1"/>
        <v>1.9708609271523179</v>
      </c>
      <c r="E56" s="1">
        <f t="shared" si="2"/>
        <v>2</v>
      </c>
    </row>
    <row r="57" spans="1:5" x14ac:dyDescent="0.25">
      <c r="A57" s="39" t="s">
        <v>65</v>
      </c>
      <c r="B57" s="42">
        <f>'2015 Program Panel Calculations'!AG57</f>
        <v>3</v>
      </c>
      <c r="C57" s="13">
        <f t="shared" si="0"/>
        <v>3.9735099337748344E-3</v>
      </c>
      <c r="D57" s="45">
        <f t="shared" si="1"/>
        <v>1.9708609271523179</v>
      </c>
      <c r="E57" s="1">
        <f t="shared" si="2"/>
        <v>2</v>
      </c>
    </row>
    <row r="58" spans="1:5" x14ac:dyDescent="0.25">
      <c r="B58">
        <f>SUM(B3:B57)</f>
        <v>755</v>
      </c>
      <c r="E58" s="1">
        <f>SUM(E3:E57)</f>
        <v>496</v>
      </c>
    </row>
    <row r="61" spans="1:5" x14ac:dyDescent="0.25">
      <c r="A61" s="40" t="s">
        <v>136</v>
      </c>
      <c r="B61">
        <v>496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Historical Comparisons</vt:lpstr>
      <vt:lpstr>2015 Program Panel Calculations</vt:lpstr>
      <vt:lpstr>2015 Poster Allocations</vt:lpstr>
    </vt:vector>
  </TitlesOfParts>
  <Company>APSA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Meghan McConaughey</dc:creator>
  <cp:lastModifiedBy>Meghan McConaughey</cp:lastModifiedBy>
  <cp:lastPrinted>2014-11-04T19:06:54Z</cp:lastPrinted>
  <dcterms:created xsi:type="dcterms:W3CDTF">2014-10-24T18:05:58Z</dcterms:created>
  <dcterms:modified xsi:type="dcterms:W3CDTF">2015-01-12T16:18:17Z</dcterms:modified>
</cp:coreProperties>
</file>